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Assignments\Mahagenco\MTR\MTR Order Analysis\Review Petition\"/>
    </mc:Choice>
  </mc:AlternateContent>
  <bookViews>
    <workbookView xWindow="-120" yWindow="-120" windowWidth="20730" windowHeight="11160" tabRatio="743" firstSheet="6" activeTab="7"/>
  </bookViews>
  <sheets>
    <sheet name="Title" sheetId="1" r:id="rId1"/>
    <sheet name="Review Order_180 of 2020" sheetId="2" r:id="rId2"/>
    <sheet name="BTPS_4-5 LD Impact" sheetId="3" r:id="rId3"/>
    <sheet name="KRD_8-10 LD impact" sheetId="4" r:id="rId4"/>
    <sheet name="CPR8-9 UDL impact" sheetId="5" r:id="rId5"/>
    <sheet name="Parli8 UDL impact" sheetId="6" r:id="rId6"/>
    <sheet name="GFA" sheetId="7" r:id="rId7"/>
    <sheet name="IoL" sheetId="8" r:id="rId8"/>
    <sheet name="RoE" sheetId="9" r:id="rId9"/>
    <sheet name="MoF" sheetId="10" r:id="rId10"/>
    <sheet name="Rate of RoE" sheetId="11" r:id="rId11"/>
    <sheet name="Depreciation (Summary)" sheetId="12" r:id="rId12"/>
    <sheet name="Depreciation" sheetId="13" r:id="rId13"/>
    <sheet name="O&amp;M (Summary)" sheetId="14" r:id="rId14"/>
    <sheet name="O&amp;M expenses" sheetId="15" r:id="rId15"/>
    <sheet name="EC" sheetId="16" r:id="rId16"/>
    <sheet name="Price &amp; GCV of fuels" sheetId="17" r:id="rId17"/>
    <sheet name="IoWC" sheetId="18" r:id="rId18"/>
    <sheet name="ARR" sheetId="19" r:id="rId19"/>
    <sheet name="Hydro tariff" sheetId="20" r:id="rId20"/>
    <sheet name="AFC reduction" sheetId="21" r:id="rId21"/>
    <sheet name="Sharing of AUX" sheetId="22" r:id="rId22"/>
    <sheet name="Summary of true-up" sheetId="23" r:id="rId23"/>
    <sheet name="Total gap(surplus)" sheetId="24" r:id="rId24"/>
    <sheet name="Summary of Tariff" sheetId="25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____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KD2" hidden="1">#REF!</definedName>
    <definedName name="___KD3" hidden="1">#REF!</definedName>
    <definedName name="___KK1" hidden="1">#REF!</definedName>
    <definedName name="___KK2" hidden="1">#REF!</definedName>
    <definedName name="___KK3" hidden="1">#REF!</definedName>
    <definedName name="___nis3" hidden="1">#REF!</definedName>
    <definedName name="___w123" hidden="1">{"Edition",#N/A,FALSE,"Data"}</definedName>
    <definedName name="_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_xlfn.BAHTTEXT" hidden="1">#NAME?</definedName>
    <definedName name="__123Graph_A" localSheetId="2" hidden="1">[1]CE!#REF!</definedName>
    <definedName name="__123Graph_A" localSheetId="4" hidden="1">[2]CE!#REF!</definedName>
    <definedName name="__123Graph_A" localSheetId="3" hidden="1">[2]CE!#REF!</definedName>
    <definedName name="__123Graph_A" localSheetId="5" hidden="1">[2]CE!#REF!</definedName>
    <definedName name="__123Graph_A" hidden="1">[1]CE!#REF!</definedName>
    <definedName name="__123Graph_ACurrent" hidden="1">'[3]Eq. Mobilization'!#REF!</definedName>
    <definedName name="__123Graph_ADEMAND" hidden="1">#REF!</definedName>
    <definedName name="__123Graph_ADMD_2" hidden="1">#REF!</definedName>
    <definedName name="__123Graph_AFAC" hidden="1">#REF!</definedName>
    <definedName name="__123Graph_AFAC_COMP" hidden="1">#REF!</definedName>
    <definedName name="__123Graph_AGraph4" localSheetId="2" hidden="1">'[4]01.11.2004'!#REF!</definedName>
    <definedName name="__123Graph_AGraph4" localSheetId="4" hidden="1">'[4]01.11.2004'!#REF!</definedName>
    <definedName name="__123Graph_AGraph4" localSheetId="3" hidden="1">'[4]01.11.2004'!#REF!</definedName>
    <definedName name="__123Graph_AGraph4" localSheetId="5" hidden="1">'[4]01.11.2004'!#REF!</definedName>
    <definedName name="__123Graph_AGraph4" hidden="1">'[4]01.11.2004'!#REF!</definedName>
    <definedName name="__123Graph_ASTNPLF" localSheetId="4" hidden="1">[2]CE!#REF!</definedName>
    <definedName name="__123Graph_ASTNPLF" localSheetId="3" hidden="1">[2]CE!#REF!</definedName>
    <definedName name="__123Graph_ASTNPLF" localSheetId="5" hidden="1">[2]CE!#REF!</definedName>
    <definedName name="__123Graph_ASTNPLF" hidden="1">[1]CE!#REF!</definedName>
    <definedName name="__123Graph_B" localSheetId="4" hidden="1">[2]CE!#REF!</definedName>
    <definedName name="__123Graph_B" localSheetId="3" hidden="1">[2]CE!#REF!</definedName>
    <definedName name="__123Graph_B" localSheetId="5" hidden="1">[2]CE!#REF!</definedName>
    <definedName name="__123Graph_B" hidden="1">[1]CE!#REF!</definedName>
    <definedName name="__123Graph_BCurrent" hidden="1">'[3]Eq. Mobilization'!#REF!</definedName>
    <definedName name="__123Graph_BDMD_2" hidden="1">#REF!</definedName>
    <definedName name="__123Graph_BFAC" hidden="1">#REF!</definedName>
    <definedName name="__123Graph_BFAC_COMP" hidden="1">#REF!</definedName>
    <definedName name="__123Graph_BGraph4" localSheetId="4" hidden="1">'[4]01.11.2004'!#REF!</definedName>
    <definedName name="__123Graph_BGraph4" localSheetId="3" hidden="1">'[4]01.11.2004'!#REF!</definedName>
    <definedName name="__123Graph_BGraph4" localSheetId="5" hidden="1">'[4]01.11.2004'!#REF!</definedName>
    <definedName name="__123Graph_BGraph4" hidden="1">'[4]01.11.2004'!#REF!</definedName>
    <definedName name="__123Graph_BSTNPLF" localSheetId="4" hidden="1">[2]CE!#REF!</definedName>
    <definedName name="__123Graph_BSTNPLF" localSheetId="3" hidden="1">[2]CE!#REF!</definedName>
    <definedName name="__123Graph_BSTNPLF" localSheetId="5" hidden="1">[2]CE!#REF!</definedName>
    <definedName name="__123Graph_BSTNPLF" hidden="1">[1]CE!#REF!</definedName>
    <definedName name="__123Graph_C" localSheetId="4" hidden="1">[2]CE!#REF!</definedName>
    <definedName name="__123Graph_C" localSheetId="3" hidden="1">[2]CE!#REF!</definedName>
    <definedName name="__123Graph_C" localSheetId="5" hidden="1">[2]CE!#REF!</definedName>
    <definedName name="__123Graph_C" hidden="1">[1]CE!#REF!</definedName>
    <definedName name="__123Graph_CGraph4" localSheetId="4" hidden="1">'[4]01.11.2004'!#REF!</definedName>
    <definedName name="__123Graph_CGraph4" localSheetId="3" hidden="1">'[4]01.11.2004'!#REF!</definedName>
    <definedName name="__123Graph_CGraph4" localSheetId="5" hidden="1">'[4]01.11.2004'!#REF!</definedName>
    <definedName name="__123Graph_CGraph4" hidden="1">'[4]01.11.2004'!#REF!</definedName>
    <definedName name="__123Graph_CSTNPLF" localSheetId="4" hidden="1">[2]CE!#REF!</definedName>
    <definedName name="__123Graph_CSTNPLF" localSheetId="3" hidden="1">[2]CE!#REF!</definedName>
    <definedName name="__123Graph_CSTNPLF" localSheetId="5" hidden="1">[2]CE!#REF!</definedName>
    <definedName name="__123Graph_CSTNPLF" hidden="1">[1]CE!#REF!</definedName>
    <definedName name="__123Graph_D" hidden="1">'[5]BALANCE SHEET'!$K$58:$K$67</definedName>
    <definedName name="__123Graph_E" hidden="1">'[5]BALANCE SHEET'!$L$58:$L$67</definedName>
    <definedName name="__123Graph_F" hidden="1">'[5]BALANCE SHEET'!$M$58:$M$67</definedName>
    <definedName name="__123Graph_LBL_A" hidden="1">#REF!</definedName>
    <definedName name="__123Graph_LBL_ADEMAND" hidden="1">#REF!</definedName>
    <definedName name="__123Graph_LBL_ADMD_2" hidden="1">#REF!</definedName>
    <definedName name="__123Graph_LBL_AFAC" hidden="1">#REF!</definedName>
    <definedName name="__123Graph_LBL_AFAC_COMP" hidden="1">#REF!</definedName>
    <definedName name="__123Graph_LBL_B" hidden="1">'[3]Eq. Mobilization'!#REF!</definedName>
    <definedName name="__123Graph_LBL_BDMD_2" hidden="1">#REF!</definedName>
    <definedName name="__123Graph_LBL_BFAC" hidden="1">#REF!</definedName>
    <definedName name="__123Graph_LBL_BFAC_COMP" hidden="1">#REF!</definedName>
    <definedName name="__123Graph_X" localSheetId="2" hidden="1">[1]CE!#REF!</definedName>
    <definedName name="__123Graph_X" localSheetId="4" hidden="1">[2]CE!#REF!</definedName>
    <definedName name="__123Graph_X" localSheetId="3" hidden="1">[2]CE!#REF!</definedName>
    <definedName name="__123Graph_X" localSheetId="5" hidden="1">[2]CE!#REF!</definedName>
    <definedName name="__123Graph_X" hidden="1">[1]CE!#REF!</definedName>
    <definedName name="__123Graph_XCurrent" hidden="1">'[3]Eq. Mobilization'!#REF!</definedName>
    <definedName name="__123Graph_XDEMAND" hidden="1">#REF!</definedName>
    <definedName name="__123Graph_XDMD_2" hidden="1">#REF!</definedName>
    <definedName name="__123Graph_XFAC" hidden="1">#REF!</definedName>
    <definedName name="__123Graph_XFAC_COMP" hidden="1">#REF!</definedName>
    <definedName name="__123Graph_XSTNPLF" localSheetId="2" hidden="1">[1]CE!#REF!</definedName>
    <definedName name="__123Graph_XSTNPLF" localSheetId="4" hidden="1">[2]CE!#REF!</definedName>
    <definedName name="__123Graph_XSTNPLF" localSheetId="3" hidden="1">[2]CE!#REF!</definedName>
    <definedName name="__123Graph_XSTNPLF" localSheetId="5" hidden="1">[2]CE!#REF!</definedName>
    <definedName name="__123Graph_XSTNPLF" hidden="1">[1]CE!#REF!</definedName>
    <definedName name="__KD2" hidden="1">#REF!</definedName>
    <definedName name="__KD3" hidden="1">#REF!</definedName>
    <definedName name="__KK1" hidden="1">#REF!</definedName>
    <definedName name="__KK2" hidden="1">#REF!</definedName>
    <definedName name="__KK3" hidden="1">#REF!</definedName>
    <definedName name="__new1" hidden="1">#REF!</definedName>
    <definedName name="__nis3" hidden="1">#REF!</definedName>
    <definedName name="__w123" hidden="1">{"Edition",#N/A,FALSE,"Data"}</definedName>
    <definedName name="_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_xlfn.BAHTTEXT" hidden="1">#NAME?</definedName>
    <definedName name="_1___123Graph_AI_II_PLF" localSheetId="2" hidden="1">[6]CE!#REF!</definedName>
    <definedName name="_1___123Graph_AI_II_PLF" localSheetId="4" hidden="1">[7]CE!#REF!</definedName>
    <definedName name="_1___123Graph_AI_II_PLF" localSheetId="3" hidden="1">[7]CE!#REF!</definedName>
    <definedName name="_1___123Graph_AI_II_PLF" localSheetId="5" hidden="1">[7]CE!#REF!</definedName>
    <definedName name="_1___123Graph_AI_II_PLF" hidden="1">[6]CE!#REF!</definedName>
    <definedName name="_12__123Graph_BI_II_PLF" localSheetId="2" hidden="1">#REF!</definedName>
    <definedName name="_12__123Graph_BI_II_PLF" localSheetId="4" hidden="1">#REF!</definedName>
    <definedName name="_12__123Graph_BI_II_PLF" localSheetId="3" hidden="1">#REF!</definedName>
    <definedName name="_12__123Graph_BI_II_PLF" localSheetId="5" hidden="1">#REF!</definedName>
    <definedName name="_12__123Graph_BI_II_PLF" hidden="1">#REF!</definedName>
    <definedName name="_123Graph_B" localSheetId="2" hidden="1">[2]CE!#REF!</definedName>
    <definedName name="_123Graph_B" localSheetId="4" hidden="1">[2]CE!#REF!</definedName>
    <definedName name="_123Graph_B" localSheetId="3" hidden="1">[2]CE!#REF!</definedName>
    <definedName name="_123Graph_B" localSheetId="5" hidden="1">[2]CE!#REF!</definedName>
    <definedName name="_123Graph_B" hidden="1">[2]CE!#REF!</definedName>
    <definedName name="_18__123Graph_CI_II_PLF" localSheetId="2" hidden="1">#REF!</definedName>
    <definedName name="_18__123Graph_CI_II_PLF" localSheetId="4" hidden="1">#REF!</definedName>
    <definedName name="_18__123Graph_CI_II_PLF" localSheetId="3" hidden="1">#REF!</definedName>
    <definedName name="_18__123Graph_CI_II_PLF" localSheetId="5" hidden="1">#REF!</definedName>
    <definedName name="_18__123Graph_CI_II_PLF" hidden="1">#REF!</definedName>
    <definedName name="_2___123Graph_BI_II_PLF" localSheetId="2" hidden="1">[6]CE!#REF!</definedName>
    <definedName name="_2___123Graph_BI_II_PLF" localSheetId="4" hidden="1">[7]CE!#REF!</definedName>
    <definedName name="_2___123Graph_BI_II_PLF" localSheetId="3" hidden="1">[7]CE!#REF!</definedName>
    <definedName name="_2___123Graph_BI_II_PLF" localSheetId="5" hidden="1">[7]CE!#REF!</definedName>
    <definedName name="_2___123Graph_BI_II_PLF" hidden="1">[6]CE!#REF!</definedName>
    <definedName name="_24__123Graph_XI_II_PLF" localSheetId="2" hidden="1">#REF!</definedName>
    <definedName name="_24__123Graph_XI_II_PLF" localSheetId="4" hidden="1">#REF!</definedName>
    <definedName name="_24__123Graph_XI_II_PLF" localSheetId="3" hidden="1">#REF!</definedName>
    <definedName name="_24__123Graph_XI_II_PLF" localSheetId="5" hidden="1">#REF!</definedName>
    <definedName name="_24__123Graph_XI_II_PLF" hidden="1">#REF!</definedName>
    <definedName name="_3___123Graph_CI_II_PLF" localSheetId="2" hidden="1">[6]CE!#REF!</definedName>
    <definedName name="_3___123Graph_CI_II_PLF" localSheetId="4" hidden="1">[7]CE!#REF!</definedName>
    <definedName name="_3___123Graph_CI_II_PLF" localSheetId="3" hidden="1">[7]CE!#REF!</definedName>
    <definedName name="_3___123Graph_CI_II_PLF" localSheetId="5" hidden="1">[7]CE!#REF!</definedName>
    <definedName name="_3___123Graph_CI_II_PLF" hidden="1">[6]CE!#REF!</definedName>
    <definedName name="_4___123Graph_XI_II_PLF" localSheetId="2" hidden="1">[6]CE!#REF!</definedName>
    <definedName name="_4___123Graph_XI_II_PLF" localSheetId="4" hidden="1">[7]CE!#REF!</definedName>
    <definedName name="_4___123Graph_XI_II_PLF" localSheetId="3" hidden="1">[7]CE!#REF!</definedName>
    <definedName name="_4___123Graph_XI_II_PLF" localSheetId="5" hidden="1">[7]CE!#REF!</definedName>
    <definedName name="_4___123Graph_XI_II_PLF" hidden="1">[6]CE!#REF!</definedName>
    <definedName name="_5__123Graph_AI_II_PLF" localSheetId="2" hidden="1">[8]CE!#REF!</definedName>
    <definedName name="_5__123Graph_AI_II_PLF" localSheetId="4" hidden="1">[9]CE!#REF!</definedName>
    <definedName name="_5__123Graph_AI_II_PLF" localSheetId="3" hidden="1">[9]CE!#REF!</definedName>
    <definedName name="_5__123Graph_AI_II_PLF" localSheetId="5" hidden="1">[9]CE!#REF!</definedName>
    <definedName name="_5__123Graph_AI_II_PLF" hidden="1">[8]CE!#REF!</definedName>
    <definedName name="_6__123Graph_AI_II_PLF" localSheetId="4" hidden="1">#REF!</definedName>
    <definedName name="_6__123Graph_AI_II_PLF" localSheetId="3" hidden="1">#REF!</definedName>
    <definedName name="_6__123Graph_AI_II_PLF" localSheetId="5" hidden="1">#REF!</definedName>
    <definedName name="_6__123Graph_AI_II_PLF" hidden="1">#REF!</definedName>
    <definedName name="_6__123Graph_BI_II_PLF" localSheetId="4" hidden="1">[9]CE!#REF!</definedName>
    <definedName name="_6__123Graph_BI_II_PLF" localSheetId="3" hidden="1">[9]CE!#REF!</definedName>
    <definedName name="_6__123Graph_BI_II_PLF" localSheetId="5" hidden="1">[9]CE!#REF!</definedName>
    <definedName name="_6__123Graph_BI_II_PLF" hidden="1">[8]CE!#REF!</definedName>
    <definedName name="_7__123Graph_CI_II_PLF" localSheetId="4" hidden="1">[9]CE!#REF!</definedName>
    <definedName name="_7__123Graph_CI_II_PLF" localSheetId="3" hidden="1">[9]CE!#REF!</definedName>
    <definedName name="_7__123Graph_CI_II_PLF" localSheetId="5" hidden="1">[9]CE!#REF!</definedName>
    <definedName name="_7__123Graph_CI_II_PLF" hidden="1">[8]CE!#REF!</definedName>
    <definedName name="_8__123Graph_XI_II_PLF" localSheetId="4" hidden="1">[9]CE!#REF!</definedName>
    <definedName name="_8__123Graph_XI_II_PLF" localSheetId="3" hidden="1">[9]CE!#REF!</definedName>
    <definedName name="_8__123Graph_XI_II_PLF" localSheetId="5" hidden="1">[9]CE!#REF!</definedName>
    <definedName name="_8__123Graph_XI_II_PLF" hidden="1">[8]CE!#REF!</definedName>
    <definedName name="_Fill" localSheetId="4" hidden="1">#REF!</definedName>
    <definedName name="_Fill" localSheetId="3" hidden="1">#REF!</definedName>
    <definedName name="_Fill" localSheetId="5" hidden="1">#REF!</definedName>
    <definedName name="_Fill" hidden="1">#REF!</definedName>
    <definedName name="_Fill1" hidden="1">#REF!</definedName>
    <definedName name="_xlnm._FilterDatabase" hidden="1">#REF!</definedName>
    <definedName name="_int06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int06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int06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int06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int06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KD2" hidden="1">#REF!</definedName>
    <definedName name="_KD3" hidden="1">#REF!</definedName>
    <definedName name="_Key1" localSheetId="4" hidden="1">#REF!</definedName>
    <definedName name="_Key1" localSheetId="3" hidden="1">#REF!</definedName>
    <definedName name="_Key1" localSheetId="5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5" hidden="1">#REF!</definedName>
    <definedName name="_Key2" hidden="1">#REF!</definedName>
    <definedName name="_KK1" hidden="1">#REF!</definedName>
    <definedName name="_KK2" hidden="1">#REF!</definedName>
    <definedName name="_KK3" hidden="1">#REF!</definedName>
    <definedName name="_new" hidden="1">#REF!</definedName>
    <definedName name="_new1" hidden="1">#REF!</definedName>
    <definedName name="_nis3" hidden="1">#REF!</definedName>
    <definedName name="_nt06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nt06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nt06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nt06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nt06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Order1" hidden="1">255</definedName>
    <definedName name="_Order2" hidden="1">0</definedName>
    <definedName name="_Parse_In" localSheetId="4" hidden="1">'[4]01.11.2004'!#REF!</definedName>
    <definedName name="_Parse_In" localSheetId="3" hidden="1">'[4]01.11.2004'!#REF!</definedName>
    <definedName name="_Parse_In" localSheetId="5" hidden="1">'[4]01.11.2004'!#REF!</definedName>
    <definedName name="_Parse_In" hidden="1">'[4]01.11.2004'!#REF!</definedName>
    <definedName name="_Parse_Out" hidden="1">#REF!</definedName>
    <definedName name="_rcd" localSheetId="4" hidden="1">[10]CE!#REF!</definedName>
    <definedName name="_rcd" localSheetId="3" hidden="1">[10]CE!#REF!</definedName>
    <definedName name="_rcd" localSheetId="5" hidden="1">[10]CE!#REF!</definedName>
    <definedName name="_rcd" hidden="1">[10]CE!#REF!</definedName>
    <definedName name="_Regression_Int" hidden="1">1</definedName>
    <definedName name="_Sort" localSheetId="2" hidden="1">#REF!</definedName>
    <definedName name="_Sort" localSheetId="4" hidden="1">#REF!</definedName>
    <definedName name="_Sort" localSheetId="3" hidden="1">#REF!</definedName>
    <definedName name="_Sort" localSheetId="5" hidden="1">#REF!</definedName>
    <definedName name="_Sort" hidden="1">#REF!</definedName>
    <definedName name="_Table1_Out" localSheetId="4" hidden="1">'[4]01.11.2004'!#REF!</definedName>
    <definedName name="_Table1_Out" localSheetId="3" hidden="1">'[4]01.11.2004'!#REF!</definedName>
    <definedName name="_Table1_Out" localSheetId="5" hidden="1">'[4]01.11.2004'!#REF!</definedName>
    <definedName name="_Table1_Out" hidden="1">'[4]01.11.2004'!#REF!</definedName>
    <definedName name="_w123" hidden="1">{"Edition",#N/A,FALSE,"Data"}</definedName>
    <definedName name="_wrn1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wrn1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wrn1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wrn1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_wrn1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AA" hidden="1">#REF!</definedName>
    <definedName name="ac" hidden="1">#REF!</definedName>
    <definedName name="Access_Button" hidden="1">"PJTFINAL_F02F11_List"</definedName>
    <definedName name="AccessDatabase" hidden="1">"C:\jhp2\JHP\AES\PJTFINAL.mdb"</definedName>
    <definedName name="ADITION" hidden="1">{"'장비'!$A$3:$M$12"}</definedName>
    <definedName name="annex" hidden="1">#REF!</definedName>
    <definedName name="annex1" hidden="1">#REF!</definedName>
    <definedName name="arrintrst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rrintrst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rrintrst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rrintrst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rrintrst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AS2DocOpenMode" hidden="1">"AS2DocumentEdit"</definedName>
    <definedName name="AS2HasNoAutoHeaderFooter" hidden="1">" "</definedName>
    <definedName name="AS2NamedRange" hidden="1">2</definedName>
    <definedName name="AS2ReportLS" hidden="1">1</definedName>
    <definedName name="AS2SyncStepLS" hidden="1">0</definedName>
    <definedName name="AS2VersionLS" hidden="1">300</definedName>
    <definedName name="ASD" localSheetId="4" hidden="1">[11]CE!#REF!</definedName>
    <definedName name="ASD" localSheetId="3" hidden="1">[11]CE!#REF!</definedName>
    <definedName name="ASD" localSheetId="5" hidden="1">[11]CE!#REF!</definedName>
    <definedName name="ASD" hidden="1">[11]CE!#REF!</definedName>
    <definedName name="ASDASD123" localSheetId="4" hidden="1">[11]CE!#REF!</definedName>
    <definedName name="ASDASD123" localSheetId="3" hidden="1">[11]CE!#REF!</definedName>
    <definedName name="ASDASD123" localSheetId="5" hidden="1">[11]CE!#REF!</definedName>
    <definedName name="ASDASD123" hidden="1">[11]CE!#REF!</definedName>
    <definedName name="ASSDFFDZFFD" hidden="1">#REF!</definedName>
    <definedName name="BEx0017DGUEDPCFJUPUZOOLJCS2B" hidden="1">#REF!</definedName>
    <definedName name="BEx001CNWHJ5RULCSFM36ZCGJ1UH" hidden="1">#REF!</definedName>
    <definedName name="BEx004791UAJIJSN57OT7YBLNP82" hidden="1">[12]Table!#REF!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[12]Table!#REF!</definedName>
    <definedName name="BEx00KZHZBHP3TDV1YMX4B19B95O" hidden="1">#REF!</definedName>
    <definedName name="BEx01HY6E3GJ66ABU5ABN26V6Q13" hidden="1">[12]Table!#REF!</definedName>
    <definedName name="BEx01PW5YQKEGAR8JDDI5OARYXDF" hidden="1">#REF!</definedName>
    <definedName name="BEx01UU51VRZVF9PPM2ZYH9DG5FL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VMRHFXUP6XYYY9NR12PV5TF" hidden="1">#REF!</definedName>
    <definedName name="BEx1H6KIT7BHUH6MDDWC935V9N47" hidden="1">#REF!</definedName>
    <definedName name="BEx1HDGOOJ3SKHYMWUZJ1P0RQZ9N" hidden="1">[12]Table!#REF!</definedName>
    <definedName name="BEx1HDM5ZXSJG6JQEMSFV52PZ10V" hidden="1">#REF!</definedName>
    <definedName name="BEx1HETBBZVN5F43LKOFMC4QB0CR" hidden="1">#REF!</definedName>
    <definedName name="BEx1HGWNWPLNXICOTP90TKQVVE4E" hidden="1">[12]Table!#REF!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[12]Table!#REF!</definedName>
    <definedName name="BEx1LDMB9RW982DUILM2WPT5VWQ3" hidden="1">[12]Table!#REF!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[12]Table!#REF!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[12]Table!#REF!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[12]Table!#REF!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QA54J2A4I7IBQR19BTY28ZMR" hidden="1">#REF!</definedName>
    <definedName name="BEx1QMQAHG3KQUK59DVM68SWKZIZ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[12]Table!#REF!</definedName>
    <definedName name="BEx1SSNEZINBJT29QVS62VS1THT4" hidden="1">#REF!</definedName>
    <definedName name="BEx1SVNCHNANBJIDIQVB8AFK4HAN" hidden="1">#REF!</definedName>
    <definedName name="BEx1SX5ASX75RUGI6RBX5H5ZKC0U" hidden="1">#REF!</definedName>
    <definedName name="BEx1TJ0WLS9O7KNSGIPWTYHDYI1D" hidden="1">#REF!</definedName>
    <definedName name="BEx1U7WFO8OZKB1EBF4H386JW91L" hidden="1">#REF!</definedName>
    <definedName name="BEx1U87938YR9N6HYI24KVBKLOS3" hidden="1">[12]Table!#REF!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[12]Table!#REF!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[12]Table!#REF!</definedName>
    <definedName name="BEx1XL4MZ7C80495GHQRWOBS16PQ" hidden="1">#REF!</definedName>
    <definedName name="BEx1XOKSCH78XQ00HOGFX0N9SLC7" hidden="1">[13]Table!$I$10:$J$10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[12]Table!#REF!</definedName>
    <definedName name="BEx3AOOVM42G82TNF53W0EKXLUSI" hidden="1">#REF!</definedName>
    <definedName name="BEx3AZH9W4SUFCAHNDOQ728R9V4L" hidden="1">#REF!</definedName>
    <definedName name="BEx3BNR9ES4KY7Q1DK83KC5NDGL8" hidden="1">[12]Table!#REF!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KFCCPZZ6ROLAT5C1DZNIC1U" hidden="1">[12]Table!#REF!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[12]Table!#REF!</definedName>
    <definedName name="BEx3FX7EJL47JSLSWP3EOC265WAE" hidden="1">#REF!</definedName>
    <definedName name="BEx3G201R8NLJ6FIHO2QS0SW9QVV" hidden="1">[12]Table!#REF!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[12]Table!#REF!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[12]Table!#REF!</definedName>
    <definedName name="BEx3I09YVXO0G4X7KGSA4WGORM35" hidden="1">#REF!</definedName>
    <definedName name="BEx3ICF1GY8HQEBIU9S43PDJ90BX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[12]Table!#REF!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REOFWJQEYMCMBL7ZE06NBN6" hidden="1">[12]Table!#REF!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NTRMB84K05E46MCYRB8QQT83" hidden="1">[13]Table!$I$8:$J$8</definedName>
    <definedName name="BEx3O19B8FTTAPVT5DZXQGQXWFR8" hidden="1">#REF!</definedName>
    <definedName name="BEx3O85IKWARA6NCJOLRBRJFMEWW" hidden="1">[12]Table!#REF!</definedName>
    <definedName name="BEx3OJZSCGFRW7SVGBFI0X9DNVMM" hidden="1">[12]Table!#REF!</definedName>
    <definedName name="BEx3OKL6MQZ2Z7V64B8XBNQ35ZWK" hidden="1">[13]Graph!$F$10:$G$10</definedName>
    <definedName name="BEx3ORSBUXAF21MKEY90YJV9AY9A" hidden="1">[12]Table!#REF!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[12]Table!#REF!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[12]Table!#REF!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[12]Table!#REF!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[12]Table!#REF!</definedName>
    <definedName name="BEx3TF0LGR2ACGP6Q9D6XNICSFA5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[12]Table!#REF!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[12]Table!#REF!</definedName>
    <definedName name="BEx56ZID5H04P9AIYLP1OASFGV56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[12]Table!#REF!</definedName>
    <definedName name="BEx5AOFIO8KVRHIZ1RII337AA8ML" hidden="1">#REF!</definedName>
    <definedName name="BEx5APRZ66L5BWHFE8E4YYNEDTI4" hidden="1">[12]Table!#REF!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[12]Table!#REF!</definedName>
    <definedName name="BEx5E123OLO9WQUOIRIDJ967KAGK" hidden="1">#REF!</definedName>
    <definedName name="BEx5E2UU5NES6W779W2OZTZOB4O7" hidden="1">#REF!</definedName>
    <definedName name="BEx5ELQL9B0VR6UT18KP11DHOTFX" hidden="1">#REF!</definedName>
    <definedName name="BEx5ER4TJTFPN7IB1MNEB1ZFR5M6" hidden="1">[12]Table!#REF!</definedName>
    <definedName name="BEx5F6V5LEI66Q6Y30F8WKLZFUSK" hidden="1">[13]Table!$F$11:$G$11</definedName>
    <definedName name="BEx5F6V72QTCK7O39Y59R0EVM6CW" hidden="1">#REF!</definedName>
    <definedName name="BEx5FGLQVACD5F5YZG4DGSCHCGO2" hidden="1">[12]Table!#REF!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[12]Table!#REF!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[12]Table!#REF!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[12]Table!#REF!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[12]Table!#REF!</definedName>
    <definedName name="BEx5I9GDQSYIAL65UQNDMNFQCS9Y" hidden="1">#REF!</definedName>
    <definedName name="BEx5IBUPG9AWNW5PK7JGRGEJ4OLM" hidden="1">[12]Table!#REF!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[12]Table!#REF!</definedName>
    <definedName name="BEx5MLQZM68YQSKARVWTTPINFQ2C" hidden="1">[12]Table!#REF!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[12]Table!#REF!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[12]Table!#REF!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[12]Table!#REF!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[12]Table!#REF!</definedName>
    <definedName name="BEx78QMXZ2P1ZB3HJ9O50DWHCMXR" hidden="1">#REF!</definedName>
    <definedName name="BEx78SFO5VR28677DWZEMDN7G86X" hidden="1">[12]Table!#REF!</definedName>
    <definedName name="BEx78SFOYH1Z0ZDTO47W2M60TW6K" hidden="1">#REF!</definedName>
    <definedName name="BEx79AKE8RVQIANNSTJ82JLJDX5R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[12]Table!#REF!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PXFZXJ79FQ0E8AQE21PGVHA" hidden="1">#REF!</definedName>
    <definedName name="BEx7BVRRP386BTN6RK71NTH0RGJV" hidden="1">[13]Table!$F$9:$G$9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[12]Table!#REF!</definedName>
    <definedName name="BEx7CO8T2XKC7GHDSYNAWTZ9L7YR" hidden="1">#REF!</definedName>
    <definedName name="BEx7CW1CF00DO8A36UNC2X7K65C2" hidden="1">[12]Table!#REF!</definedName>
    <definedName name="BEx7CW6NFRL2P4XWP0MWHIYA97KF" hidden="1">#REF!</definedName>
    <definedName name="BEx7CZMSLZZLCSW5AJDDX5L98VW3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[12]Table!#REF!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YYLHMBYQTH6I377FCQS7CSX" hidden="1">#REF!</definedName>
    <definedName name="BEx7F8UO9IZN4BT6DVP7G692YK2M" hidden="1">[13]Table!$F$15:$AD$54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BVYN47SFZIA0K4MDKQZNN9V" hidden="1">#REF!</definedName>
    <definedName name="BEx7IV2IJ5WT7UC0UG7WP0WF2JZI" hidden="1">#REF!</definedName>
    <definedName name="BEx7IXGU74GE5E4S6W4Z13AR092Y" hidden="1">[12]Table!#REF!</definedName>
    <definedName name="BEx7J4YL8Q3BI1MLH16YYQ18IJRD" hidden="1">[12]Table!#REF!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[12]Table!#REF!</definedName>
    <definedName name="BEx7KSAS8BZT6H8OQCZ5DNSTMO07" hidden="1">[12]Table!#REF!</definedName>
    <definedName name="BEx7KWHTBD21COXVI4HNEQH0Z3L8" hidden="1">#REF!</definedName>
    <definedName name="BEx7KXUGRMRSUXCM97Z7VRZQ9JH2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MAUI1JJFDIJGDW4RWY5384LY" hidden="1">[12]Table!#REF!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[12]Table!#REF!</definedName>
    <definedName name="BEx9175B70QXYAU5A8DJPGZQ46L9" hidden="1">#REF!</definedName>
    <definedName name="BEx91AQQRTV87AO27VWHSFZAD4ZR" hidden="1">#REF!</definedName>
    <definedName name="BEx91L8FLL5CWLA2CDHKCOMGVDZN" hidden="1">[12]Table!#REF!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[12]Table!#REF!</definedName>
    <definedName name="BEx921PNZ46VORG2VRMWREWIC0SE" hidden="1">#REF!</definedName>
    <definedName name="BEx92DPEKL5WM5A3CN8674JI0PR3" hidden="1">#REF!</definedName>
    <definedName name="BEx92ER2RMY93TZK0D9L9T3H0GI5" hidden="1">[12]Table!#REF!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[12]Table!#REF!</definedName>
    <definedName name="BEx92S8MHFFIVRQ2YSHZNQGOFUHD" hidden="1">#REF!</definedName>
    <definedName name="BEx93B9OULL2YGC896XXYAAJSTRK" hidden="1">[12]Table!#REF!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[12]Table!#REF!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N7W5T3U7UOE97D6OVIBUCXS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TH7X8DDKZ4IM9M8FNR4Z4BT" hidden="1">[13]Graph!$F$11:$G$11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H03FSI9F2VGN1Q7TPFWHHSV" hidden="1">[13]Table!$I$6:$J$6</definedName>
    <definedName name="BEx96KR21O7H9R29TN0S45Y3QPUK" hidden="1">#REF!</definedName>
    <definedName name="BEx96SUFKHHFE8XQ6UUO6ILDOXHO" hidden="1">#REF!</definedName>
    <definedName name="BEx96UN4YWXBDEZ1U1ZUIPP41Z7I" hidden="1">[12]Table!#REF!</definedName>
    <definedName name="BEx978KSD61YJH3S9DGO050R2EHA" hidden="1">#REF!</definedName>
    <definedName name="BEx97F651DTPEIXNL9PU1DDPQJ3J" hidden="1">[13]Table!$J$2:$K$2</definedName>
    <definedName name="BEx97H9O1NAKAPK4MX4PKO34ICL5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[12]Table!#REF!</definedName>
    <definedName name="BEx99WBYT2D6UUC1PT7A40ENYID4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[12]Table!#REF!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D1BC9FT19KY0INAABNDBAMR1" hidden="1">#REF!</definedName>
    <definedName name="BEx9DN6ZMF18Q39MPMXSDJTZQNJ3" hidden="1">#REF!</definedName>
    <definedName name="BEx9E14TDNSEMI784W0OTIEQMWN6" hidden="1">[12]Table!#REF!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[12]Table!#REF!</definedName>
    <definedName name="BEx9FF16LOQP5QIR4UHW5EIFGQB8" hidden="1">[12]Table!#REF!</definedName>
    <definedName name="BEx9FJTSRCZ3ZXT3QVBJT5NF8T7V" hidden="1">[12]Table!#REF!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LTGKD2FN2TIN0ACEHMRPSNF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9KQ3CK9HRYQ0EPOGV9LQK5WLT" hidden="1">#REF!</definedName>
    <definedName name="BExAW4IIW5D0MDY6TJ3G4FOLPYIR" hidden="1">[12]Table!#REF!</definedName>
    <definedName name="BExAX410NB4F2XOB84OR2197H8M5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[12]Table!#REF!</definedName>
    <definedName name="BExAZRMWSONMCG9KDUM4KAQ7BONM" hidden="1">[12]Table!#REF!</definedName>
    <definedName name="BExAZTFG4SJRG4TW6JXRF7N08JFI" hidden="1">#REF!</definedName>
    <definedName name="BExAZUS4A8OHDZK0MWAOCCCKTH73" hidden="1">#REF!</definedName>
    <definedName name="BExAZX6FECVK3E07KXM2XPYKGM6U" hidden="1">[12]Table!#REF!</definedName>
    <definedName name="BExB012NJ8GASTNNPBRRFTLHIOC9" hidden="1">#REF!</definedName>
    <definedName name="BExB072HHXVMUC0VYNGG48GRSH5Q" hidden="1">#REF!</definedName>
    <definedName name="BExB0FRDEYDEUEAB1W8KD6D965XA" hidden="1">[12]Table!#REF!</definedName>
    <definedName name="BExB0KPCN7YJORQAYUCF4YKIKPMC" hidden="1">#REF!</definedName>
    <definedName name="BExB0WE4PI3NOBXXVO9CTEN4DIU2" hidden="1">[12]Table!#REF!</definedName>
    <definedName name="BExB10QNIVITUYS55OAEKK3VLJFE" hidden="1">[12]Table!#REF!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[12]Table!#REF!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[12]Table!#REF!</definedName>
    <definedName name="BExB7Y8L9DM8DN9P8OSBA1IJDZND" hidden="1">[13]Table!$F$10:$G$10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[12]Table!#REF!</definedName>
    <definedName name="BExBAUZD05VYQHAZRRRU1U95MFC2" hidden="1">[13]Graph!$I$10:$J$10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[12]Table!#REF!</definedName>
    <definedName name="BExBDBZQLTX3OGFYGULQFK5WEZU5" hidden="1">#REF!</definedName>
    <definedName name="BExBDJS9TUEU8Z84IV59E5V4T8K6" hidden="1">#REF!</definedName>
    <definedName name="BExBDKOMSVH4XMH52CFJ3F028I9R" hidden="1">[12]Table!#REF!</definedName>
    <definedName name="BExBDSRXVZQ0W5WXQMP5XD00GRRL" hidden="1">#REF!</definedName>
    <definedName name="BExBDUVGK3E1J4JY9ZYTS7V14BLY" hidden="1">[12]Table!#REF!</definedName>
    <definedName name="BExBE162OSBKD30I7T1DKKPT3I9I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7ZPMHFJ4UJDAL8CQOLSZ13B" hidden="1">#REF!</definedName>
    <definedName name="BExCS8W4NJUZH9S1CYB6XSDLEPBW" hidden="1">[12]Table!#REF!</definedName>
    <definedName name="BExCSAE1M6G20R41J0Y24YNN0YC1" hidden="1">#REF!</definedName>
    <definedName name="BExCSAOUZOYKHN7HV511TO8VDJ02" hidden="1">#REF!</definedName>
    <definedName name="BExCSMOFTXSUEC1T46LR1UPYRCX5" hidden="1">[12]Table!#REF!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[12]Table!#REF!</definedName>
    <definedName name="BExCU0A1V6NMZQ9ASYJ8QIVQ5UR2" hidden="1">#REF!</definedName>
    <definedName name="BExCU2834920JBHSPCRC4UF80OLL" hidden="1">#REF!</definedName>
    <definedName name="BExCU8O54I3P3WRYWY1CRP3S78QY" hidden="1">[12]Table!#REF!</definedName>
    <definedName name="BExCUDRJO23YOKT8GPWOVQ4XEHF5" hidden="1">#REF!</definedName>
    <definedName name="BExCUPAXFR16YMWL30ME3F3BSRDZ" hidden="1">#REF!</definedName>
    <definedName name="BExCUR94DHCE47PUUWEMT5QZOYR2" hidden="1">[12]Table!#REF!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RIIBOGYLXPN6CSPOE4UDMFA" hidden="1">[13]Graph!$I$8:$J$8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1PDI3XSQ9S8UIE1QG82IFH8" hidden="1">#REF!</definedName>
    <definedName name="BExCW9Y5HWU4RJTNX74O6L24VGCK" hidden="1">[12]Table!#REF!</definedName>
    <definedName name="BExCWPDPESGZS07QGBLSBWDNVJLZ" hidden="1">#REF!</definedName>
    <definedName name="BExCWTVKHIVCRHF8GC39KI58YM5K" hidden="1">[12]Table!#REF!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D9FEOJBKDJ51Z3JON9LKJ8" hidden="1">[12]Table!#REF!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[12]Table!#REF!</definedName>
    <definedName name="BExD1OAU9OXQAZA4D70HP72CU6GB" hidden="1">#REF!</definedName>
    <definedName name="BExD1Y1JV61416YA1XRQHKWPZIE7" hidden="1">#REF!</definedName>
    <definedName name="BExD2CFHIRMBKN5KXE5QP4XXEWFS" hidden="1">[12]Table!#REF!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[12]Table!#REF!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[12]Table!#REF!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[12]Table!#REF!</definedName>
    <definedName name="BExD9L0ID3VSOU609GKWYTA5BFMA" hidden="1">#REF!</definedName>
    <definedName name="BExD9M7SEMG0JK2FUTTZXWIEBTKB" hidden="1">#REF!</definedName>
    <definedName name="BExD9MNYBYB1AICQL5165G472IE2" hidden="1">[12]Table!#REF!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N9VIYI0FVL0HLZQXJFO6TT0" hidden="1">[12]Table!#REF!</definedName>
    <definedName name="BExEPYT6VDSMR8MU2341Q5GM2Y9V" hidden="1">[12]Table!#REF!</definedName>
    <definedName name="BExEQ2ENYLMY8K1796XBB31CJHNN" hidden="1">#REF!</definedName>
    <definedName name="BExEQ2PFE4N40LEPGDPS90WDL6BN" hidden="1">#REF!</definedName>
    <definedName name="BExEQ2PFURT24NQYGYVE8NKX1EGA" hidden="1">[12]Table!#REF!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[12]Table!#REF!</definedName>
    <definedName name="BExES44RHHDL3V7FLV6M20834WF1" hidden="1">#REF!</definedName>
    <definedName name="BExES4A7VE2X3RYYTVRLKZD4I7WU" hidden="1">[12]Table!#REF!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7ZSDYQ0C5WX1FP1ZA4HZMZI" hidden="1">[13]Graph!$F$7:$G$7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[12]Table!#REF!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VLIEVWYRF2UUC1H0H5QU1CP" hidden="1">#REF!</definedName>
    <definedName name="BExEVWCKO8T84GW9Z3X47915XKSH" hidden="1">[12]Table!#REF!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NBGQS1U2LW3W84T4LSJ9K00" hidden="1">#REF!</definedName>
    <definedName name="BExEWO7STL7HNZSTY8VQBPTX1WK6" hidden="1">#REF!</definedName>
    <definedName name="BExEWQ0M1N3KMKTDJ73H10QSG4W1" hidden="1">[12]Table!#REF!</definedName>
    <definedName name="BExEX85F3OSW8NSCYGYPS9372Z1Q" hidden="1">[12]Table!#REF!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OW8C1B3OUUCIGEC7L8OOW1Z" hidden="1">[12]Table!#REF!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[12]Table!#REF!</definedName>
    <definedName name="BExF09OS91RT7N7IW8JLMZ121ZP3" hidden="1">#REF!</definedName>
    <definedName name="BExF0LOEHV42P2DV7QL8O7HOQ3N9" hidden="1">#REF!</definedName>
    <definedName name="BExF0WRM9VO25RLSO03ZOCE8H7K5" hidden="1">[12]Table!#REF!</definedName>
    <definedName name="BExF0ZRI7W4RSLIDLHTSM0AWXO3S" hidden="1">#REF!</definedName>
    <definedName name="BExF19CT3MMZZ2T5EWMDNG3UOJ01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[12]Table!#REF!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[12]Table!#REF!</definedName>
    <definedName name="BExF3JMFX5DILOIFUDIO1HZUK875" hidden="1">[12]Table!#REF!</definedName>
    <definedName name="BExF3NTC4BGZEM6B87TCFX277QCS" hidden="1">#REF!</definedName>
    <definedName name="BExF3Q7NI90WT31QHYSJDIG0LLLJ" hidden="1">#REF!</definedName>
    <definedName name="BExF3QD55TIY1MSBSRK9TUJKBEWO" hidden="1">[12]Table!#REF!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[12]Table!#REF!</definedName>
    <definedName name="BExF57K7L3UC1I2FSAWURR4SN0UN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[12]Table!#REF!</definedName>
    <definedName name="BExF6FGUF393KTMBT40S5BYAFG00" hidden="1">[12]Table!#REF!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YE6RZTAAWHJBG2QFJPTDS2Q" hidden="1">#REF!</definedName>
    <definedName name="BExGM4DZ65OAQP7MA4LN6QMYZOFF" hidden="1">#REF!</definedName>
    <definedName name="BExGMCXCWEC9XNUOEMZ61TMI6CUO" hidden="1">[12]Table!#REF!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[12]Table!#REF!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[12]Table!#REF!</definedName>
    <definedName name="BExGQPO7ENFEQC0NC6MC9OZR2LHY" hidden="1">#REF!</definedName>
    <definedName name="BExGQX0H4EZMXBJTKJJE4ICJWN5O" hidden="1">#REF!</definedName>
    <definedName name="BExGR4CW3WRIID17GGX4MI9ZDHFE" hidden="1">[12]Table!#REF!</definedName>
    <definedName name="BExGR65GJX27MU2OL6NI5PB8XVB4" hidden="1">[12]Table!#REF!</definedName>
    <definedName name="BExGR6LQ97HETGS3CT96L4IK0JSH" hidden="1">#REF!</definedName>
    <definedName name="BExGR9ATP2LVT7B9OCPSLJ11H9SX" hidden="1">#REF!</definedName>
    <definedName name="BExGRUKVVKDL8483WI70VN2QZDGD" hidden="1">#REF!</definedName>
    <definedName name="BExGS2IWR5DUNJ1U9PAKIV8CMBNI" hidden="1">[12]Table!#REF!</definedName>
    <definedName name="BExGS3F497294543A3R5GSWVFT7O" hidden="1">#REF!</definedName>
    <definedName name="BExGS69P9FFTEOPDS0MWFKF45G47" hidden="1">[12]Table!#REF!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8W4X1J4UP329AB4G708DE5V" hidden="1">[13]Graph!$I$6:$J$6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[12]Table!#REF!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[12]Table!#REF!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[12]Table!#REF!</definedName>
    <definedName name="BExGYGJJJ3BBCQAOA51WHP01HN73" hidden="1">#REF!</definedName>
    <definedName name="BExGYOS6TV2C72PLRFU8RP1I58GY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IKFD2XZ2IUBJMAUE9E64HPN" hidden="1">[13]Table!$I$11:$J$11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[12]Table!#REF!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WKXV8X5S2GSBBTWGI0NLNAH" hidden="1">[12]Table!#REF!</definedName>
    <definedName name="BExH2XS1UFYFGU0S0EBXX90W2WE8" hidden="1">#REF!</definedName>
    <definedName name="BExH2XS2TND9SB0GC295R4FP6K5Y" hidden="1">[12]Table!#REF!</definedName>
    <definedName name="BExH2ZA0SZ4SSITL50NA8LZ3OEX6" hidden="1">#REF!</definedName>
    <definedName name="BExH31Z3JNVJPESWKXHILGXZHP2M" hidden="1">#REF!</definedName>
    <definedName name="BExH39MDCIPJ7BGV3B0L44QX4OYZ" hidden="1">#REF!</definedName>
    <definedName name="BExH3E9HZ3QJCDZW7WI7YACFQCHE" hidden="1">#REF!</definedName>
    <definedName name="BExH3IRB6764RQ5HBYRLH6XCT29X" hidden="1">#REF!</definedName>
    <definedName name="BExIG2U8V6RSB47SXLCQG3Q68YRO" hidden="1">[12]Table!#REF!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LU2OLFPJP94XBPBSHB53UVR" hidden="1">[12]Table!#REF!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[12]Table!#REF!</definedName>
    <definedName name="BExIKRF6AQ6VOO9KCIWSM6FY8M7D" hidden="1">#REF!</definedName>
    <definedName name="BExIKTYZESFT3LC0ASFMFKSE0D1X" hidden="1">[12]Table!#REF!</definedName>
    <definedName name="BExIKXVA6M8K0PTRYAGXS666L335" hidden="1">[12]Table!#REF!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[12]Table!#REF!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XLVVQ29UXQYVRLYNF88CV1Q" hidden="1">[13]Graph!$I$9:$J$9</definedName>
    <definedName name="BExINZELVWYGU876QUUZCIMXPBQC" hidden="1">#REF!</definedName>
    <definedName name="BExIOCQUQHKUU1KONGSDOLQTQEIC" hidden="1">[12]Table!#REF!</definedName>
    <definedName name="BExIOFL8Y5O61VLKTB4H20IJNWS1" hidden="1">#REF!</definedName>
    <definedName name="BExIOMBXRW5NS4ZPYX9G5QREZ5J6" hidden="1">#REF!</definedName>
    <definedName name="BExIOQJ15X871R5JB8TQK2Z5HAIE" hidden="1">[13]Table!$I$9:$J$9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[12]Table!#REF!</definedName>
    <definedName name="BExIQG9OO2KKBOWTMD1OXY36TEGA" hidden="1">#REF!</definedName>
    <definedName name="BExIQX1XBB31HZTYEEVOBSE3C5A6" hidden="1">#REF!</definedName>
    <definedName name="BExIR2ALYRP9FW99DK2084J7IIDC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[12]Table!#REF!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PASP9SCMB7BBMAI9MKVE56Q" hidden="1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[12]Table!#REF!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[12]Table!#REF!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[12]Table!#REF!</definedName>
    <definedName name="BExIX34PM5DBTRHRQWP6PL6WIX88" hidden="1">#REF!</definedName>
    <definedName name="BExIX5OAP9KSUE5SIZCW9P39Q4WE" hidden="1">#REF!</definedName>
    <definedName name="BExIXGRJPVJMUDGSG7IHPXPNO69B" hidden="1">[12]Table!#REF!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[12]Table!#REF!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[12]Table!#REF!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[12]Table!#REF!</definedName>
    <definedName name="BExKCDYKAEV45AFXHVHZZ62E5BM3" hidden="1">[12]Table!#REF!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[12]Table!#REF!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[12]Table!#REF!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[12]Table!#REF!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[12]Table!#REF!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[12]Table!#REF!</definedName>
    <definedName name="BExKQJGAAWNM3NT19E9I0CQDBTU0" hidden="1">#REF!</definedName>
    <definedName name="BExKQM5GJ1ZN5REKFE7YVBQ0KXWF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DJ6O3E9T8T0OTAT5R92S5DP" hidden="1">[12]Table!#REF!</definedName>
    <definedName name="BExKSFMOMSZYDE0WNC94F40S6636" hidden="1">#REF!</definedName>
    <definedName name="BExKSHQ9K79S8KYUWIV5M5LAHHF1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[12]Table!#REF!</definedName>
    <definedName name="BExKULEKJLA77AUQPDUHSM94Y76Z" hidden="1">#REF!</definedName>
    <definedName name="BExKV08R85MKI3MAX9E2HERNQUNL" hidden="1">[12]Table!#REF!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[12]Table!#REF!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XJS82ZJ8RS22VLE0V0LDUII" hidden="1">#REF!</definedName>
    <definedName name="BExMB4QRS0R3MTB4CMUHFZ84LNZQ" hidden="1">#REF!</definedName>
    <definedName name="BExMBC35WKQY5CWQJLV4D05O6971" hidden="1">[12]Table!#REF!</definedName>
    <definedName name="BExMBFTZV4Q1A5KG25C1N9PHQNSW" hidden="1">#REF!</definedName>
    <definedName name="BExMBK6ISK3U7KHZKUJXIDKGF6VW" hidden="1">[12]Table!#REF!</definedName>
    <definedName name="BExMBYPQDG9AYDQ5E8IECVFREPO6" hidden="1">[12]Table!#REF!</definedName>
    <definedName name="BExMC8AZUTX8LG89K2JJR7ZG62XX" hidden="1">#REF!</definedName>
    <definedName name="BExMCA96YR10V72G2R0SCIKPZLIZ" hidden="1">#REF!</definedName>
    <definedName name="BExMCB5JU5I2VQDUBS4O42BTEVKI" hidden="1">[12]Table!#REF!</definedName>
    <definedName name="BExMCFSQFSEMPY5IXDIRKZDASDBR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[12]Table!#REF!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3AJ9477KDL4T9DHET4LJJTW" hidden="1">#REF!</definedName>
    <definedName name="BExMI6QQ20XHD0NWJUN741B37182" hidden="1">#REF!</definedName>
    <definedName name="BExMI8JB94SBD9EMNJEK7Y2T6GYU" hidden="1">#REF!</definedName>
    <definedName name="BExMI8OS85YTW3KYVE4YD0R7Z6UV" hidden="1">[12]Table!#REF!</definedName>
    <definedName name="BExMIBOOZU40JS3F89OMPSRCE9MM" hidden="1">#REF!</definedName>
    <definedName name="BExMIIQ5MBWSIHTFWAQADXMZC22Q" hidden="1">#REF!</definedName>
    <definedName name="BExMIL4I2GE866I25CR5JBLJWJ6A" hidden="1">[12]Table!#REF!</definedName>
    <definedName name="BExMIRKIPF27SNO82SPFSB3T5U17" hidden="1">[12]Table!#REF!</definedName>
    <definedName name="BExMIV0KC8555D5E42ZGWG15Y0MO" hidden="1">#REF!</definedName>
    <definedName name="BExMIZT6AN7E6YMW2S87CTCN2UXH" hidden="1">#REF!</definedName>
    <definedName name="BExMJNC8ZFB9DRFOJ961ZAJ8U3A8" hidden="1">[12]Table!#REF!</definedName>
    <definedName name="BExMJTBV8A3D31W2IQHP9RDFPPHQ" hidden="1">#REF!</definedName>
    <definedName name="BExMK2RTXN4QJWEUNX002XK8VQP8" hidden="1">#REF!</definedName>
    <definedName name="BExMK8GNVLQNRGKY522KFHNRBWHH" hidden="1">[13]Graph!$F$9:$G$9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[12]Table!#REF!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[12]Table!#REF!</definedName>
    <definedName name="BExMMQ835AJDHS4B419SS645P67Q" hidden="1">#REF!</definedName>
    <definedName name="BExMMQIUVPCOBISTEJJYNCCLUCPY" hidden="1">[12]Table!#REF!</definedName>
    <definedName name="BExMMTIXETA5VAKBSOFDD5SRU887" hidden="1">#REF!</definedName>
    <definedName name="BExMMV0P6P5YS3C35G0JYYHI7992" hidden="1">[12]Table!#REF!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[12]Table!#REF!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[12]Table!#REF!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[12]Table!#REF!</definedName>
    <definedName name="BExO66LZJKY4PTQVREELI6POS4AY" hidden="1">[12]Table!#REF!</definedName>
    <definedName name="BExO6LLHCYTF7CIVHKAO0NMET14Q" hidden="1">#REF!</definedName>
    <definedName name="BExO7OUQS3XTUQ2LDKGQ8AAQ3OJJ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UTAGQWDBQZEEF4HUNMLQCVU" hidden="1">[12]Table!#REF!</definedName>
    <definedName name="BExO937E20IHMGQOZMECL3VZC7OX" hidden="1">#REF!</definedName>
    <definedName name="BExO94UTJKQQ7TJTTJRTSR70YVJC" hidden="1">#REF!</definedName>
    <definedName name="BExO9J3A438976RXIUX5U9SU5T55" hidden="1">[12]Table!#REF!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[12]Table!#REF!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[12]Table!#REF!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[12]Table!#REF!</definedName>
    <definedName name="BExODEWDDEABM4ZY3XREJIBZ8IVP" hidden="1">[12]Table!#REF!</definedName>
    <definedName name="BExODZFEIWV26E8RFU7XQYX1J458" hidden="1">#REF!</definedName>
    <definedName name="BExOEBKG55EROA2VL360A06LKASE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[12]Table!#REF!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[12]Table!#REF!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[12]Table!#REF!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O34TA9XYUZZCXN78ABZR4X3" hidden="1">[13]Graph!$I$11:$J$11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[12]Table!#REF!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[12]Table!#REF!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[12]Table!#REF!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VAMMKKMBDUHD2QN0XUHUXXU" hidden="1">#REF!</definedName>
    <definedName name="BExQ4XJHD7EJCNH7S1MJDZJ2MNWG" hidden="1">#REF!</definedName>
    <definedName name="BExQ5039ZCEWBUJHU682G4S89J03" hidden="1">#REF!</definedName>
    <definedName name="BExQ56Z9W6YHZHRXOFFI8EFA7CDI" hidden="1">[12]Table!#REF!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[12]Table!#REF!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NUC0NYZM41F4MA8OXQZY3B3" hidden="1">[13]Table!$F$8:$G$8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[12]Table!#REF!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[12]Table!#REF!</definedName>
    <definedName name="BExQ94LAW6MAQBWY25WTBFV5PPZJ" hidden="1">[12]Table!#REF!</definedName>
    <definedName name="BExQ97QIPOSSRK978N8P234Y1XA4" hidden="1">[12]Table!#REF!</definedName>
    <definedName name="BExQ9E6FBAXTHGF3RXANFIA77GXP" hidden="1">[12]Table!#REF!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[12]Table!#REF!</definedName>
    <definedName name="BExQ9ZLYHWABXAA9NJDW8ZS0UQ9P" hidden="1">[12]Table!#REF!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[12]Table!#REF!</definedName>
    <definedName name="BExQAG8PP8R5NJKNQD1U4QOSD6X5" hidden="1">#REF!</definedName>
    <definedName name="BExQBDICMZTSA1X73TMHNO4JSFLN" hidden="1">[12]Table!#REF!</definedName>
    <definedName name="BExQBEER6CRCRPSSL61S0OMH57ZA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571YWOXKR2SX85K5MKQ0AO2" hidden="1">#REF!</definedName>
    <definedName name="BExQDB6VCHN8PNX8EA6JNIEQ2JC2" hidden="1">[12]Table!#REF!</definedName>
    <definedName name="BExQDE1B6U2Q9B73KBENABP71YM1" hidden="1">#REF!</definedName>
    <definedName name="BExQDGQCN7ZW41QDUHOBJUGQAX40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[12]Table!#REF!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[12]Table!#REF!</definedName>
    <definedName name="BExQI85V9TNLDJT5LTRZS10Y26SG" hidden="1">[12]Table!#REF!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J3BV5BMZ3948V5V05ZRCM2WC" hidden="1">#REF!</definedName>
    <definedName name="BExQJBF7LAX128WR7VTMJC88ZLPG" hidden="1">#REF!</definedName>
    <definedName name="BExQJEVCKX6KZHNCLYXY7D0MX5KN" hidden="1">[12]Table!#REF!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[12]Table!#REF!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[12]Table!#REF!</definedName>
    <definedName name="BExS0K8IHC45I78DMZBOJ1P13KQA" hidden="1">#REF!</definedName>
    <definedName name="BExS15IJV0WW662NXQUVT3FGP4ST" hidden="1">#REF!</definedName>
    <definedName name="BExS194110MR25BYJI3CJ2EGZ8XT" hidden="1">#REF!</definedName>
    <definedName name="BExS1BNVGNSGD4EP90QL8WXYWZ66" hidden="1">[12]Table!#REF!</definedName>
    <definedName name="BExS1UE39N6NCND7MAARSBWXS6HU" hidden="1">[12]Table!#REF!</definedName>
    <definedName name="BExS1XJCWV6KVJQWVSS4G6RPC39K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[12]Table!#REF!</definedName>
    <definedName name="BExS2TLU1HONYV6S3ZD9T12D7CIG" hidden="1">#REF!</definedName>
    <definedName name="BExS318UV9I2FXPQQWUKKX00QLPJ" hidden="1">[12]Table!#REF!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[12]Table!#REF!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[12]Table!#REF!</definedName>
    <definedName name="BExSCHUQZ2HFEWS54X67DIS8OSXZ" hidden="1">#REF!</definedName>
    <definedName name="BExSCOG41SKKG4GYU76WRWW1CTE6" hidden="1">#REF!</definedName>
    <definedName name="BExSCVC9P86YVFMRKKUVRV29MZXZ" hidden="1">[12]Table!#REF!</definedName>
    <definedName name="BExSD233CH4MU9ZMGNRF97ZV7KWU" hidden="1">#REF!</definedName>
    <definedName name="BExSD2U0F3BN6IN9N4R2DTTJG15H" hidden="1">#REF!</definedName>
    <definedName name="BExSD6A6NY15YSMFH51ST6XJY429" hidden="1">[12]Table!#REF!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F07QFLZCO4P6K6QF05XG7PH1" hidden="1">#REF!</definedName>
    <definedName name="BExSFEQYFNHXMU9WARNDPSZU80TL" hidden="1">#REF!</definedName>
    <definedName name="BExSFJ8ZAGQ63A4MVMZRQWLVRGQ5" hidden="1">#REF!</definedName>
    <definedName name="BExSFKQRST2S9KXWWLCXYLKSF4G1" hidden="1">#REF!</definedName>
    <definedName name="BExSFYDRRTAZVPXRWUF5PDQ97WFF" hidden="1">[12]Table!#REF!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[12]Table!#REF!</definedName>
    <definedName name="BExSGOAYG73SFWOPAQV80P710GID" hidden="1">#REF!</definedName>
    <definedName name="BExSGOWJHRW7FWKLO2EHUOOGHNAF" hidden="1">[12]Table!#REF!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[12]Table!#REF!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ZNS2PBCR93C9IUW49UZ4I6T" hidden="1">[12]Table!#REF!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[12]Table!#REF!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06U9LH6ONWWJG2JT2IE7FHL" hidden="1">[13]Graph!$C$15:$D$24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476KI0RNB71XI5TYMANSGBG" hidden="1">#REF!</definedName>
    <definedName name="BExTXJ6HBAIXMMWKZTJNFDYVZCAY" hidden="1">[12]Table!#REF!</definedName>
    <definedName name="BExTXT812NQT8GAEGH738U29BI0D" hidden="1">#REF!</definedName>
    <definedName name="BExTXWIP2TFPTQ76NHFOB72NICRZ" hidden="1">[12]Table!#REF!</definedName>
    <definedName name="BExTY5T62H651VC86QM4X7E28JVA" hidden="1">#REF!</definedName>
    <definedName name="BExTYKCEFJ83LZM95M1V7CSFQVEA" hidden="1">[12]Table!#REF!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[12]Table!#REF!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[12]Table!#REF!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[12]Table!#REF!</definedName>
    <definedName name="BExU2XZLYIU19G7358W5T9E87AFR" hidden="1">#REF!</definedName>
    <definedName name="BExU3B66MCKJFSKT3HL8B5EJGVX0" hidden="1">[12]Table!#REF!</definedName>
    <definedName name="BExU3RIAP478GJ8A7T5UZ359QZ07" hidden="1">[13]Graph!$F$6:$G$6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[12]Table!#REF!</definedName>
    <definedName name="BExU4L101H2KQHVKCKQ4PBAWZV6K" hidden="1">[12]Table!#REF!</definedName>
    <definedName name="BExU4NA00RRRBGRT6TOB0MXZRCRZ" hidden="1">#REF!</definedName>
    <definedName name="BExU529I6YHVOG83TJHWSILIQU1S" hidden="1">#REF!</definedName>
    <definedName name="BExU57YCIKPRD8QWL6EU0YR3NG3J" hidden="1">[12]Table!#REF!</definedName>
    <definedName name="BExU5DSTBWXLN6E59B757KRWRI6E" hidden="1">[12]Table!#REF!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[12]Table!#REF!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[12]Table!#REF!</definedName>
    <definedName name="BExU6PAVKIOAIMQ9XQIHHF1SUAGO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[12]Table!#REF!</definedName>
    <definedName name="BExU885EZZNSZV3GP298UJ8LB7OL" hidden="1">#REF!</definedName>
    <definedName name="BExU8FSAUP9TUZ1NO9WXK80QPHWV" hidden="1">[12]Table!#REF!</definedName>
    <definedName name="BExU8KFLAN778MBN93NYZB0FV30G" hidden="1">#REF!</definedName>
    <definedName name="BExU8UX9JX3XLB47YZ8GFXE0V7R2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[12]Table!#REF!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[12]Table!#REF!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[12]Table!#REF!</definedName>
    <definedName name="BExUD90JKWQMHVOZT5ZCEIHU9AOT" hidden="1">[13]Table!$F$6:$G$6</definedName>
    <definedName name="BExUD9WX9BWK72UWVSLYZJLAY5VY" hidden="1">#REF!</definedName>
    <definedName name="BExUDEV0CYVO7Y5IQQBEJ6FUY9S6" hidden="1">#REF!</definedName>
    <definedName name="BExUDWOXQGIZW0EAIIYLQUPXF8YV" hidden="1">[12]Table!#REF!</definedName>
    <definedName name="BExUDXAIC17W1FUU8Z10XUAVB7CS" hidden="1">#REF!</definedName>
    <definedName name="BExUE5OMY7OAJQ9WR8C8HG311ORP" hidden="1">#REF!</definedName>
    <definedName name="BExUEFKOQWXXGRNLAOJV2BJ66UB8" hidden="1">[12]Table!#REF!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[12]Table!#REF!</definedName>
    <definedName name="BExVT3MPE8LQ5JFN3HQIFKSQ80U4" hidden="1">#REF!</definedName>
    <definedName name="BExVT7TRK3NZHPME2TFBXOF1WBR9" hidden="1">#REF!</definedName>
    <definedName name="BExVT9H0R0T7WGQAAC0HABMG54YM" hidden="1">[12]Table!#REF!</definedName>
    <definedName name="BExVTCMDDEDGLUIMUU6BSFHEWTOP" hidden="1">#REF!</definedName>
    <definedName name="BExVTCMDQMLKRA2NQR72XU6Y54IK" hidden="1">[12]Table!#REF!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[12]Table!#REF!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[12]Table!#REF!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[12]Table!#REF!</definedName>
    <definedName name="BExW0FYP4WXY71CYUG40SUBG9UWU" hidden="1">[12]Table!#REF!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QV7KYMNIHVF5MC7H059DW4K" hidden="1">[13]Table!$C$15:$D$24</definedName>
    <definedName name="BExW1TKA0Z9OP2DTG50GZR5EG8C7" hidden="1">[12]Table!#REF!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[12]Table!#REF!</definedName>
    <definedName name="BExW3GB28STOMJUSZEIA7YKYNS4Y" hidden="1">[12]Table!#REF!</definedName>
    <definedName name="BExW3T1K638HT5E0Y8MMK108P5JT" hidden="1">#REF!</definedName>
    <definedName name="BExW4217ZHL9VO39POSTJOD090WU" hidden="1">#REF!</definedName>
    <definedName name="BExW4GPW71EBF8XPS2QGVQHBCDX3" hidden="1">[12]Table!#REF!</definedName>
    <definedName name="BExW4JKC5837JBPCOJV337ZVYYY3" hidden="1">[12]Table!#REF!</definedName>
    <definedName name="BExW4QR9FV9MP5K610THBSM51RYO" hidden="1">[12]Table!#REF!</definedName>
    <definedName name="BExW4Z029R9E19ZENN3WEA3VDAD1" hidden="1">[12]Table!#REF!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[12]Table!#REF!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[12]Table!#REF!</definedName>
    <definedName name="BExW967733Q8RAJOHR2GJ3HO8JIW" hidden="1">#REF!</definedName>
    <definedName name="BExW9POK1KIOI0ALS5MZIKTDIYMA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[12]Table!#REF!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6QAP8UJQVN4R4BQKPP4QK35" hidden="1">#REF!</definedName>
    <definedName name="BExXNBOA39T2X6Y5Y5GZ5DDNA1AX" hidden="1">#REF!</definedName>
    <definedName name="BExXND6872VJ3M2PGT056WQMWBHD" hidden="1">[12]Table!#REF!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[12]Table!#REF!</definedName>
    <definedName name="BExXPS31W1VD2NMIE4E37LHVDF0L" hidden="1">#REF!</definedName>
    <definedName name="BExXPZKYEMVF5JOC14HYOOYQK6JK" hidden="1">[12]Table!#REF!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JIEF5R3QQ6D8HO3NGPU0IQC" hidden="1">[12]Table!#REF!</definedName>
    <definedName name="BExXQU00K9ER4I1WM7T9J0W1E7ZC" hidden="1">#REF!</definedName>
    <definedName name="BExXQU00KOR7XLM8B13DGJ1MIQDY" hidden="1">#REF!</definedName>
    <definedName name="BExXQXG18PS8HGBOS03OSTQ0KEYC" hidden="1">[12]Table!#REF!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SA382M6V21QBI1MUU12UIRU" hidden="1">[13]Graph!$I$7:$J$7</definedName>
    <definedName name="BExXSTBS08WIA9TLALV3UQ2Z3MRG" hidden="1">#REF!</definedName>
    <definedName name="BExXSVQ2WOJJ73YEO8Q2FK60V4G8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[12]Table!#REF!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[12]Table!#REF!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[12]Table!#REF!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0XT6GJE3MTRO04N33LOBYO1" hidden="1">[13]Table!$F$7:$G$7</definedName>
    <definedName name="BExXY5QFG6QP94SFT3935OBM8Y4K" hidden="1">#REF!</definedName>
    <definedName name="BExXY7TYEBFXRYUYIFHTN65RJ8EW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FVV4YB42AZ3H1I40YG3JAPU" hidden="1">#REF!</definedName>
    <definedName name="BExXZHJ9T2JELF12CHHGD54J1B0C" hidden="1">#REF!</definedName>
    <definedName name="BExXZNJ2X1TK2LRK5ZY3MX49H5T7" hidden="1">[12]Table!#REF!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7FABGPJJ2J9XI5X53R8O7JR" hidden="1">[13]Graph!$F$8:$G$8</definedName>
    <definedName name="BExY17KKZ7QY5ESCFC2U053SPI6J" hidden="1">[13]Table!$E$1:$E$1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NWOXXFV9GGZ3PX444LZ8TVX" hidden="1">#REF!</definedName>
    <definedName name="BExY1UCL0RND63LLSM9X5SFRG117" hidden="1">[12]Table!#REF!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[12]Table!#REF!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1FNC1LPQCN87SH9EXI7ZTSQ" hidden="1">[13]Table!$G$2:$H$2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[12]Table!#REF!</definedName>
    <definedName name="BExY5DF9MS25IFNWGJ1YAS5MDN8R" hidden="1">[12]Table!#REF!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AULKVBVSE35POJDJE1VK01G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[12]Table!#REF!</definedName>
    <definedName name="BExZNY6X2WA353T7PNAFAFG21HHZ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[12]Table!#REF!</definedName>
    <definedName name="BExZPQ0XY507N8FJMVPKCTK8HC9H" hidden="1">[12]Table!#REF!</definedName>
    <definedName name="BExZQ37OVBR25U32CO2YYVPZOMR5" hidden="1">[12]Table!#REF!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[12]Table!#REF!</definedName>
    <definedName name="BExZU2BHYAOKSCBM3C5014ZF6IXS" hidden="1">[12]Table!#REF!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LM4T9ORS4ZWHME46U4Q103C" hidden="1">#REF!</definedName>
    <definedName name="BExZVM7OZWPPRH5YQW50EYMMIW1A" hidden="1">#REF!</definedName>
    <definedName name="BExZVPYGX2C5OSHMZ6F0KBKZ6B1S" hidden="1">[12]Table!#REF!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[12]Table!#REF!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[12]Table!#REF!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[12]Table!#REF!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G_Del" hidden="1">15</definedName>
    <definedName name="BG_Ins" hidden="1">4</definedName>
    <definedName name="BG_Mod" hidden="1">6</definedName>
    <definedName name="bkd" hidden="1">{"'Sheet1'!$L$16"}</definedName>
    <definedName name="bm" hidden="1">{"'Sheet1'!$L$16"}</definedName>
    <definedName name="bn" hidden="1">{"'Sheet1'!$L$16"}</definedName>
    <definedName name="CMH" localSheetId="2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CMH" localSheetId="4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CMH" localSheetId="3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CMH" localSheetId="5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CMH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cn" hidden="1">{"'Sheet1'!$L$16"}</definedName>
    <definedName name="conf_balamended" localSheetId="2" hidden="1">{#N/A,#N/A,FALSE,"PMTABB";#N/A,#N/A,FALSE,"PMTABB"}</definedName>
    <definedName name="conf_balamended" localSheetId="4" hidden="1">{#N/A,#N/A,FALSE,"PMTABB";#N/A,#N/A,FALSE,"PMTABB"}</definedName>
    <definedName name="conf_balamended" localSheetId="3" hidden="1">{#N/A,#N/A,FALSE,"PMTABB";#N/A,#N/A,FALSE,"PMTABB"}</definedName>
    <definedName name="conf_balamended" localSheetId="5" hidden="1">{#N/A,#N/A,FALSE,"PMTABB";#N/A,#N/A,FALSE,"PMTABB"}</definedName>
    <definedName name="conf_balamended" hidden="1">{#N/A,#N/A,FALSE,"PMTABB";#N/A,#N/A,FALSE,"PMTABB"}</definedName>
    <definedName name="ddddddddddddd" hidden="1">[14]I!#REF!</definedName>
    <definedName name="Depreciation" localSheetId="2" hidden="1">{"'Detail Summary'!$A$1:$F$83"}</definedName>
    <definedName name="Depreciation" localSheetId="4" hidden="1">{"'Detail Summary'!$A$1:$F$83"}</definedName>
    <definedName name="Depreciation" localSheetId="3" hidden="1">{"'Detail Summary'!$A$1:$F$83"}</definedName>
    <definedName name="Depreciation" localSheetId="5" hidden="1">{"'Detail Summary'!$A$1:$F$83"}</definedName>
    <definedName name="Depreciation" hidden="1">{"'Detail Summary'!$A$1:$F$83"}</definedName>
    <definedName name="dfaf" hidden="1">{"'장비'!$A$3:$M$12"}</definedName>
    <definedName name="DR" hidden="1">#REF!</definedName>
    <definedName name="dw" hidden="1">{"'Sheet1'!$L$16"}</definedName>
    <definedName name="e" localSheetId="2" hidden="1">{"'Detail Summary'!$A$1:$F$83"}</definedName>
    <definedName name="e" localSheetId="4" hidden="1">{"'Detail Summary'!$A$1:$F$83"}</definedName>
    <definedName name="e" localSheetId="3" hidden="1">{"'Detail Summary'!$A$1:$F$83"}</definedName>
    <definedName name="e" localSheetId="5" hidden="1">{"'Detail Summary'!$A$1:$F$83"}</definedName>
    <definedName name="e" hidden="1">{"'Detail Summary'!$A$1:$F$83"}</definedName>
    <definedName name="eee" hidden="1">#REF!</definedName>
    <definedName name="es" hidden="1">{"'Sheet1'!$L$16"}</definedName>
    <definedName name="et" hidden="1">{"'Sheet1'!$L$16"}</definedName>
    <definedName name="EV__EVCOM_OPTIONS__" hidden="1">8</definedName>
    <definedName name="EV__EXPOPTIONS__" hidden="1">0</definedName>
    <definedName name="EV__LASTREFTIME__" hidden="1">"(GMT+05:30)5/14/2016 12:27:02 PM"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134217732</definedName>
    <definedName name="EV__WBVERSION__" hidden="1">0</definedName>
    <definedName name="EWEQEQ" hidden="1">#REF!</definedName>
    <definedName name="exc" localSheetId="2" hidden="1">{"'Sheet1'!$A$4386:$N$4591"}</definedName>
    <definedName name="exc" localSheetId="4" hidden="1">{"'Sheet1'!$A$4386:$N$4591"}</definedName>
    <definedName name="exc" localSheetId="3" hidden="1">{"'Sheet1'!$A$4386:$N$4591"}</definedName>
    <definedName name="exc" localSheetId="5" hidden="1">{"'Sheet1'!$A$4386:$N$4591"}</definedName>
    <definedName name="exc" hidden="1">{"'Sheet1'!$A$4386:$N$4591"}</definedName>
    <definedName name="f" hidden="1">#REF!</definedName>
    <definedName name="fd" hidden="1">{"'Sheet1'!$L$16"}</definedName>
    <definedName name="fdgk" hidden="1">{"'Sheet1'!$L$16"}</definedName>
    <definedName name="fe" hidden="1">{"'Sheet1'!$L$16"}</definedName>
    <definedName name="fs" hidden="1">{"'Sheet1'!$L$16"}</definedName>
    <definedName name="gid" hidden="1">{"'Sheet1'!$L$16"}</definedName>
    <definedName name="gj" hidden="1">{"'Sheet1'!$L$16"}</definedName>
    <definedName name="gk0901int" localSheetId="2" hidden="1">{#N/A,#N/A,FALSE,"PMTABB";#N/A,#N/A,FALSE,"PMTABB"}</definedName>
    <definedName name="gk0901int" localSheetId="4" hidden="1">{#N/A,#N/A,FALSE,"PMTABB";#N/A,#N/A,FALSE,"PMTABB"}</definedName>
    <definedName name="gk0901int" localSheetId="3" hidden="1">{#N/A,#N/A,FALSE,"PMTABB";#N/A,#N/A,FALSE,"PMTABB"}</definedName>
    <definedName name="gk0901int" localSheetId="5" hidden="1">{#N/A,#N/A,FALSE,"PMTABB";#N/A,#N/A,FALSE,"PMTABB"}</definedName>
    <definedName name="gk0901int" hidden="1">{#N/A,#N/A,FALSE,"PMTABB";#N/A,#N/A,FALSE,"PMTABB"}</definedName>
    <definedName name="gkd" hidden="1">{"'Sheet1'!$L$16"}</definedName>
    <definedName name="hh" localSheetId="2" hidden="1">{"'Detail Summary'!$A$1:$F$83"}</definedName>
    <definedName name="hh" localSheetId="4" hidden="1">{"'Detail Summary'!$A$1:$F$83"}</definedName>
    <definedName name="hh" localSheetId="3" hidden="1">{"'Detail Summary'!$A$1:$F$83"}</definedName>
    <definedName name="hh" localSheetId="5" hidden="1">{"'Detail Summary'!$A$1:$F$83"}</definedName>
    <definedName name="hh" hidden="1">{"'Detail Summary'!$A$1:$F$83"}</definedName>
    <definedName name="HTML" hidden="1">{"'장비'!$A$3:$M$12"}</definedName>
    <definedName name="HTML_CodePage" hidden="1">1252</definedName>
    <definedName name="HTML_Control" localSheetId="2" hidden="1">{"'Sheet1'!$A$4386:$N$4591"}</definedName>
    <definedName name="HTML_Control" localSheetId="4" hidden="1">{"'Sheet1'!$A$4386:$N$4591"}</definedName>
    <definedName name="HTML_Control" localSheetId="3" hidden="1">{"'Sheet1'!$A$4386:$N$4591"}</definedName>
    <definedName name="HTML_Control" localSheetId="5" hidden="1">{"'Sheet1'!$A$4386:$N$4591"}</definedName>
    <definedName name="HTML_Control" hidden="1">{"'Sheet1'!$A$4386:$N$4591"}</definedName>
    <definedName name="HTML_Description" hidden="1">""</definedName>
    <definedName name="HTML_Email" hidden="1">""</definedName>
    <definedName name="HTML_Header" hidden="1">"Sheet1"</definedName>
    <definedName name="HTML_LastUpdate" hidden="1">"7/1/03"</definedName>
    <definedName name="HTML_LineAfter" hidden="1">FALSE</definedName>
    <definedName name="HTML_LineBefore" hidden="1">FALSE</definedName>
    <definedName name="HTML_Name" hidden="1">"m.p.raval"</definedName>
    <definedName name="HTML_OBDlg2" hidden="1">TRUE</definedName>
    <definedName name="HTML_OBDlg4" hidden="1">TRUE</definedName>
    <definedName name="HTML_OS" hidden="1">0</definedName>
    <definedName name="HTML_PathFile" hidden="1">"A:\MyHTML.htm"</definedName>
    <definedName name="HTML_Title" hidden="1">"SGSDaily Progress Report Piyaj toDharoi Pipeline"</definedName>
    <definedName name="ie" hidden="1">{"'Sheet1'!$L$16"}</definedName>
    <definedName name="interest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interest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interest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interest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interest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iop" hidden="1">{"'Sheet1'!$L$16"}</definedName>
    <definedName name="is" hidden="1">{"'Sheet1'!$L$16"}</definedName>
    <definedName name="it" hidden="1">{"'Sheet1'!$L$16"}</definedName>
    <definedName name="iv2dt" hidden="1">'[3]Eq. Mobilization'!#REF!</definedName>
    <definedName name="ivdt" hidden="1">'[3]Eq. Mobilization'!#REF!</definedName>
    <definedName name="KABOLINE" hidden="1">'[3]Eq. Mobilization'!#REF!</definedName>
    <definedName name="KKK" hidden="1">[15]DJ1!#REF!</definedName>
    <definedName name="LLL" hidden="1">[15]DJ1!#REF!</definedName>
    <definedName name="mn" hidden="1">{"'Sheet1'!$L$16"}</definedName>
    <definedName name="Nashik" hidden="1">#REF!</definedName>
    <definedName name="new" localSheetId="2" hidden="1">[16]CE!#REF!</definedName>
    <definedName name="new" localSheetId="4" hidden="1">[16]CE!#REF!</definedName>
    <definedName name="new" localSheetId="3" hidden="1">[16]CE!#REF!</definedName>
    <definedName name="new" localSheetId="5" hidden="1">[16]CE!#REF!</definedName>
    <definedName name="new" hidden="1">[16]CE!#REF!</definedName>
    <definedName name="nis" hidden="1">#REF!</definedName>
    <definedName name="OK" hidden="1">[14]I!#REF!</definedName>
    <definedName name="POI" hidden="1">#REF!</definedName>
    <definedName name="q" localSheetId="2" hidden="1">{"'Sheet1'!$A$4386:$N$4591"}</definedName>
    <definedName name="q" localSheetId="4" hidden="1">{"'Sheet1'!$A$4386:$N$4591"}</definedName>
    <definedName name="q" localSheetId="3" hidden="1">{"'Sheet1'!$A$4386:$N$4591"}</definedName>
    <definedName name="q" localSheetId="5" hidden="1">{"'Sheet1'!$A$4386:$N$4591"}</definedName>
    <definedName name="q" hidden="1">{"'Sheet1'!$A$4386:$N$4591"}</definedName>
    <definedName name="rid" hidden="1">{"'Sheet1'!$L$16"}</definedName>
    <definedName name="RVI" hidden="1">#REF!</definedName>
    <definedName name="S.1.4.3" hidden="1">{"Edition",#N/A,FALSE,"Data"}</definedName>
    <definedName name="SANAND" localSheetId="2" hidden="1">{"'Sheet1'!$A$4386:$N$4591"}</definedName>
    <definedName name="SANAND" localSheetId="4" hidden="1">{"'Sheet1'!$A$4386:$N$4591"}</definedName>
    <definedName name="SANAND" localSheetId="3" hidden="1">{"'Sheet1'!$A$4386:$N$4591"}</definedName>
    <definedName name="SANAND" localSheetId="5" hidden="1">{"'Sheet1'!$A$4386:$N$4591"}</definedName>
    <definedName name="SANAND" hidden="1">{"'Sheet1'!$A$4386:$N$4591"}</definedName>
    <definedName name="SAPBEXdnldView" hidden="1">"3SB8LZCV0XHZU35V9QQ6GS6J7"</definedName>
    <definedName name="SAPBEXhrIndnt" hidden="1">"Wide"</definedName>
    <definedName name="SAPBEXrevision" hidden="1">1</definedName>
    <definedName name="SAPBEXsysID" hidden="1">"BP1"</definedName>
    <definedName name="SAPBEXwbID" hidden="1">"48XGN254XWMWREP3UDT6NQGM1"</definedName>
    <definedName name="SAPsysID" hidden="1">"708C5W7SBKP804JT78WJ0JNKI"</definedName>
    <definedName name="SAPwbID" hidden="1">"ARS"</definedName>
    <definedName name="sd" hidden="1">{"'Sheet1'!$L$16"}</definedName>
    <definedName name="SSSSS" hidden="1">#REF!</definedName>
    <definedName name="ssssssssss" hidden="1">#REF!</definedName>
    <definedName name="sxX" hidden="1">#REF!</definedName>
    <definedName name="TextRefCopyRangeCount" hidden="1">1</definedName>
    <definedName name="tidf" hidden="1">{"'Sheet1'!$L$16"}</definedName>
    <definedName name="ttt" hidden="1">{"'장비'!$A$3:$M$12"}</definedName>
    <definedName name="ut" hidden="1">{"'Sheet1'!$L$16"}</definedName>
    <definedName name="vf" hidden="1">{"'Sheet1'!$L$16"}</definedName>
    <definedName name="vn" hidden="1">{"'Sheet1'!$L$16"}</definedName>
    <definedName name="weki_9701.xls" hidden="1">'[3]Eq. Mobilization'!#REF!</definedName>
    <definedName name="wekir9701.xls" hidden="1">'[3]Eq. Mobilization'!#REF!</definedName>
    <definedName name="wrn.AA." localSheetId="2" hidden="1">{#N/A,#N/A,FALSE,"PMTABB";#N/A,#N/A,FALSE,"PMTABB"}</definedName>
    <definedName name="wrn.AA." localSheetId="4" hidden="1">{#N/A,#N/A,FALSE,"PMTABB";#N/A,#N/A,FALSE,"PMTABB"}</definedName>
    <definedName name="wrn.AA." localSheetId="3" hidden="1">{#N/A,#N/A,FALSE,"PMTABB";#N/A,#N/A,FALSE,"PMTABB"}</definedName>
    <definedName name="wrn.AA." localSheetId="5" hidden="1">{#N/A,#N/A,FALSE,"PMTABB";#N/A,#N/A,FALSE,"PMTABB"}</definedName>
    <definedName name="wrn.AA." hidden="1">{#N/A,#N/A,FALSE,"PMTABB";#N/A,#N/A,FALSE,"PMTABB"}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RR._.Output." localSheetId="2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ARR._.Output." localSheetId="4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ARR._.Output." localSheetId="3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ARR._.Output." localSheetId="5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ARR._.Output.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Budget2000." localSheetId="2" hidden="1">{#N/A,#N/A,FALSE,"Title";#N/A,#N/A,FALSE,"Corp b sheet";#N/A,#N/A,FALSE,"MODIFIED Pl";#N/A,#N/A,FALSE,"Balance Sheet";#N/A,#N/A,FALSE,"Profit and Loss";#N/A,#N/A,FALSE,"Supplement info";#N/A,#N/A,FALSE,"Cashflow";#N/A,#N/A,FALSE,"Asspc Co - Inv Schedule";#N/A,#N/A,FALSE,"kpi"}</definedName>
    <definedName name="wrn.Budget2000." localSheetId="4" hidden="1">{#N/A,#N/A,FALSE,"Title";#N/A,#N/A,FALSE,"Corp b sheet";#N/A,#N/A,FALSE,"MODIFIED Pl";#N/A,#N/A,FALSE,"Balance Sheet";#N/A,#N/A,FALSE,"Profit and Loss";#N/A,#N/A,FALSE,"Supplement info";#N/A,#N/A,FALSE,"Cashflow";#N/A,#N/A,FALSE,"Asspc Co - Inv Schedule";#N/A,#N/A,FALSE,"kpi"}</definedName>
    <definedName name="wrn.Budget2000." localSheetId="3" hidden="1">{#N/A,#N/A,FALSE,"Title";#N/A,#N/A,FALSE,"Corp b sheet";#N/A,#N/A,FALSE,"MODIFIED Pl";#N/A,#N/A,FALSE,"Balance Sheet";#N/A,#N/A,FALSE,"Profit and Loss";#N/A,#N/A,FALSE,"Supplement info";#N/A,#N/A,FALSE,"Cashflow";#N/A,#N/A,FALSE,"Asspc Co - Inv Schedule";#N/A,#N/A,FALSE,"kpi"}</definedName>
    <definedName name="wrn.Budget2000." localSheetId="5" hidden="1">{#N/A,#N/A,FALSE,"Title";#N/A,#N/A,FALSE,"Corp b sheet";#N/A,#N/A,FALSE,"MODIFIED Pl";#N/A,#N/A,FALSE,"Balance Sheet";#N/A,#N/A,FALSE,"Profit and Loss";#N/A,#N/A,FALSE,"Supplement info";#N/A,#N/A,FALSE,"Cashflow";#N/A,#N/A,FALSE,"Asspc Co - Inv Schedule";#N/A,#N/A,FALSE,"kpi"}</definedName>
    <definedName name="wrn.Budget2000." hidden="1">{#N/A,#N/A,FALSE,"Title";#N/A,#N/A,FALSE,"Corp b sheet";#N/A,#N/A,FALSE,"MODIFIED Pl";#N/A,#N/A,FALSE,"Balance Sheet";#N/A,#N/A,FALSE,"Profit and Loss";#N/A,#N/A,FALSE,"Supplement info";#N/A,#N/A,FALSE,"Cashflow";#N/A,#N/A,FALSE,"Asspc Co - Inv Schedule";#N/A,#N/A,FALSE,"kpi"}</definedName>
    <definedName name="wrn.Dispatch._.Workbook." localSheetId="2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localSheetId="4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localSheetId="3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localSheetId="5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Formats.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imprim." localSheetId="2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mprim." localSheetId="4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mprim." localSheetId="3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mprim." localSheetId="5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mprim.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Scope._.of._.Supply._.Mechanical." hidden="1">{#N/A,#N/A,FALSE,"Mechanical"}</definedName>
    <definedName name="wrn.testrpt." hidden="1">{"Edition",#N/A,FALSE,"Data"}</definedName>
    <definedName name="wrn1.formats" localSheetId="2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1.formats" localSheetId="4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1.formats" localSheetId="3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1.formats" localSheetId="5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1.formats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x" localSheetId="4" hidden="1">[2]CE!#REF!</definedName>
    <definedName name="x" localSheetId="3" hidden="1">[2]CE!#REF!</definedName>
    <definedName name="x" localSheetId="5" hidden="1">[2]CE!#REF!</definedName>
    <definedName name="x" hidden="1">[2]CE!#REF!</definedName>
    <definedName name="XREF_COLUMN_1" hidden="1">'[17]Oustanding Balances'!#REF!</definedName>
    <definedName name="XREF_COLUMN_10" hidden="1">'[18]MASTER - MARCH'!#REF!</definedName>
    <definedName name="XREF_COLUMN_100" hidden="1">'[19]Incentives Sep 09'!#REF!</definedName>
    <definedName name="XREF_COLUMN_101" hidden="1">'[19]TS (Data)'!#REF!</definedName>
    <definedName name="XREF_COLUMN_102" hidden="1">'[19]REVENUE SCHEDULE-'!#REF!</definedName>
    <definedName name="XREF_COLUMN_103" hidden="1">'[20]REVENUE SCHEDULE-'!#REF!</definedName>
    <definedName name="XREF_COLUMN_104" hidden="1">'[20]BANKING SUMM '!#REF!</definedName>
    <definedName name="XREF_COLUMN_105" hidden="1">'[20]LT2 ATE'!#REF!</definedName>
    <definedName name="XREF_COLUMN_106" hidden="1">[20]UI!#REF!</definedName>
    <definedName name="XREF_COLUMN_107" hidden="1">'[20]OLA Sales'!#REF!</definedName>
    <definedName name="XREF_COLUMN_108" hidden="1">'[21]Final working'!#REF!</definedName>
    <definedName name="XREF_COLUMN_109" hidden="1">'[20]15 Days provn-our working'!#REF!</definedName>
    <definedName name="XREF_COLUMN_11" hidden="1">#REF!</definedName>
    <definedName name="XREF_COLUMN_110" hidden="1">'[20]Transmission Charges'!#REF!</definedName>
    <definedName name="XREF_COLUMN_111" hidden="1">'[20]Incentives March 10'!#REF!</definedName>
    <definedName name="XREF_COLUMN_112" hidden="1">'[20]TS (Data)'!#REF!</definedName>
    <definedName name="XREF_COLUMN_113" hidden="1">'[20]Load factor Incentive'!#REF!</definedName>
    <definedName name="XREF_COLUMN_114" hidden="1">'[20]TS (Data)'!#REF!</definedName>
    <definedName name="XREF_COLUMN_115" hidden="1">[20]Worksheet!#REF!</definedName>
    <definedName name="XREF_COLUMN_116" hidden="1">'[20]REVENUE SCHEDULE-'!#REF!</definedName>
    <definedName name="XREF_COLUMN_117" hidden="1">[20]Worksheet!#REF!</definedName>
    <definedName name="XREF_COLUMN_118" hidden="1">'[20]REVENUE SCHEDULE-'!#REF!</definedName>
    <definedName name="XREF_COLUMN_119" hidden="1">'[20]TS (Data)'!#REF!</definedName>
    <definedName name="XREF_COLUMN_12" hidden="1">#REF!</definedName>
    <definedName name="XREF_COLUMN_121" hidden="1">'[20]15 Days provn-our working'!#REF!</definedName>
    <definedName name="XREF_COLUMN_122" hidden="1">'[20]BANKING SUMM '!#REF!</definedName>
    <definedName name="XREF_COLUMN_123" hidden="1">'[20]LT2 ATE'!#REF!</definedName>
    <definedName name="XREF_COLUMN_124" hidden="1">[20]UI!#REF!</definedName>
    <definedName name="XREF_COLUMN_125" hidden="1">'[20]OLA Sales'!#REF!</definedName>
    <definedName name="XREF_COLUMN_126" hidden="1">'[21]Final working'!#REF!</definedName>
    <definedName name="XREF_COLUMN_127" hidden="1">'[20]Transmission Charges'!#REF!</definedName>
    <definedName name="XREF_COLUMN_128" hidden="1">'[20]Incentives March 10'!#REF!</definedName>
    <definedName name="XREF_COLUMN_129" hidden="1">'[20]TS (Data)'!#REF!</definedName>
    <definedName name="XREF_COLUMN_13" hidden="1">'[18]MASTER - MARCH'!#REF!</definedName>
    <definedName name="XREF_COLUMN_130" hidden="1">'[20]TS (Data)'!#REF!</definedName>
    <definedName name="XREF_COLUMN_131" hidden="1">'[20]Incentives March 10'!#REF!</definedName>
    <definedName name="XREF_COLUMN_132" hidden="1">'[20]Generation Details Unit wise'!#REF!</definedName>
    <definedName name="XREF_COLUMN_14" hidden="1">'[18]MASTER - MARCH'!#REF!</definedName>
    <definedName name="XREF_COLUMN_15" hidden="1">'[22]TPC-G PP'!#REF!</definedName>
    <definedName name="XREF_COLUMN_16" hidden="1">'[18]MASTER - MARCH'!#REF!</definedName>
    <definedName name="XREF_COLUMN_17" hidden="1">[22]Worksheet!#REF!</definedName>
    <definedName name="XREF_COLUMN_18" hidden="1">[22]SUMMARY!#REF!</definedName>
    <definedName name="XREF_COLUMN_19" hidden="1">'[22]TPC-G PP'!#REF!</definedName>
    <definedName name="XREF_COLUMN_2" hidden="1">'[23]TPC-G PP'!#REF!</definedName>
    <definedName name="XREF_COLUMN_20" hidden="1">'[21]Worksheet PP'!#REF!</definedName>
    <definedName name="XREF_COLUMN_21" hidden="1">'[21]Worksheet PP'!#REF!</definedName>
    <definedName name="XREF_COLUMN_24" hidden="1">'[19]15 Days provn-our working'!#REF!</definedName>
    <definedName name="XREF_COLUMN_27" hidden="1">'[19]15 Days provn-our working'!#REF!</definedName>
    <definedName name="XREF_COLUMN_3" hidden="1">'[24]12'!$K$1:$K$65536</definedName>
    <definedName name="XREF_COLUMN_37" hidden="1">'[19]15 Days provn-our working'!#REF!</definedName>
    <definedName name="XREF_COLUMN_4" hidden="1">#REF!</definedName>
    <definedName name="XREF_COLUMN_41" hidden="1">'[19]15 Days provn-our working'!#REF!</definedName>
    <definedName name="XREF_COLUMN_5" hidden="1">[25]Sheet1!#REF!</definedName>
    <definedName name="XREF_COLUMN_51" hidden="1">#REF!</definedName>
    <definedName name="XREF_COLUMN_6" hidden="1">#REF!</definedName>
    <definedName name="XREF_COLUMN_65" hidden="1">'[20]REVENUE SCHEDULE-'!#REF!</definedName>
    <definedName name="XREF_COLUMN_66" hidden="1">'[19]TS (Data)'!#REF!</definedName>
    <definedName name="XREF_COLUMN_67" hidden="1">'[20]REVENUE SCHEDULE-'!#REF!</definedName>
    <definedName name="XREF_COLUMN_68" hidden="1">'[19]TS (Data)'!#REF!</definedName>
    <definedName name="XREF_COLUMN_69" hidden="1">'[19]15 Days provn-our working'!#REF!</definedName>
    <definedName name="XREF_COLUMN_7" hidden="1">#REF!</definedName>
    <definedName name="XREF_COLUMN_70" hidden="1">#REF!</definedName>
    <definedName name="XREF_COLUMN_71" hidden="1">[19]UI!#REF!</definedName>
    <definedName name="XREF_COLUMN_72" hidden="1">'[19]REVENUE SCHEDULE-'!#REF!</definedName>
    <definedName name="XREF_COLUMN_73" hidden="1">'[19]TS (Data)'!#REF!</definedName>
    <definedName name="XREF_COLUMN_74" hidden="1">'[19]Load factor Incentive'!#REF!</definedName>
    <definedName name="XREF_COLUMN_75" hidden="1">'[19]REVENUE SCHEDULE-'!#REF!</definedName>
    <definedName name="XREF_COLUMN_77" hidden="1">'[19]Transmission Charges'!#REF!</definedName>
    <definedName name="XREF_COLUMN_78" hidden="1">'[19]REVENUE SCHEDULE-'!#REF!</definedName>
    <definedName name="XREF_COLUMN_79" hidden="1">'[19]REVENUE SCHEDULE-'!#REF!</definedName>
    <definedName name="XREF_COLUMN_8" hidden="1">'[26]FCCB '!#REF!</definedName>
    <definedName name="XREF_COLUMN_80" hidden="1">'[19]TS (Data)'!#REF!</definedName>
    <definedName name="XREF_COLUMN_81" hidden="1">[19]UI!#REF!</definedName>
    <definedName name="XREF_COLUMN_82" hidden="1">[19]UI!#REF!</definedName>
    <definedName name="XREF_COLUMN_83" hidden="1">'[19]OLA Sales'!#REF!</definedName>
    <definedName name="XREF_COLUMN_84" hidden="1">'[19]OLA Sales'!#REF!</definedName>
    <definedName name="XREF_COLUMN_85" hidden="1">#REF!</definedName>
    <definedName name="XREF_COLUMN_86" hidden="1">'[19]REVENUE SCHEDULE-'!#REF!</definedName>
    <definedName name="XREF_COLUMN_87" hidden="1">'[19]REVENUE SCHEDULE-'!#REF!</definedName>
    <definedName name="XREF_COLUMN_88" hidden="1">'[19]TS (Data)'!#REF!</definedName>
    <definedName name="XREF_COLUMN_89" hidden="1">'[19]TS (Data)'!#REF!</definedName>
    <definedName name="XREF_COLUMN_9" hidden="1">#REF!</definedName>
    <definedName name="XREF_COLUMN_90" hidden="1">'[19]15 Days provn-our working'!#REF!</definedName>
    <definedName name="XREF_COLUMN_91" hidden="1">'[19]REVENUE SCHEDULE-'!#REF!</definedName>
    <definedName name="XREF_COLUMN_92" hidden="1">'[19]BANKING SUMM '!#REF!</definedName>
    <definedName name="XREF_COLUMN_93" hidden="1">'[19]LT2 ATE'!#REF!</definedName>
    <definedName name="XREF_COLUMN_94" hidden="1">[19]UI!#REF!</definedName>
    <definedName name="XREF_COLUMN_95" hidden="1">[19]UI!#REF!</definedName>
    <definedName name="XREF_COLUMN_96" hidden="1">'[19]OLA Sales'!#REF!</definedName>
    <definedName name="XREF_COLUMN_97" hidden="1">'[19]OLA Sales'!#REF!</definedName>
    <definedName name="XREF_COLUMN_98" hidden="1">'[19]Transmission Charges'!#REF!</definedName>
    <definedName name="XREF_COLUMN_99" hidden="1">'[19]Load factor Incentive'!#REF!</definedName>
    <definedName name="XRefActiveRow" hidden="1">#REF!</definedName>
    <definedName name="XRefColumnsCount" hidden="1">2</definedName>
    <definedName name="XRefCopy1" hidden="1">'[26]FCCB '!#REF!</definedName>
    <definedName name="XRefCopy10" hidden="1">[23]SUMMARY!#REF!</definedName>
    <definedName name="XRefCopy100Row" hidden="1">#REF!</definedName>
    <definedName name="XRefCopy101Row" hidden="1">#REF!</definedName>
    <definedName name="XRefCopy102Row" hidden="1">#REF!</definedName>
    <definedName name="XRefCopy103Row" hidden="1">#REF!</definedName>
    <definedName name="XRefCopy104Row" hidden="1">#REF!</definedName>
    <definedName name="XRefCopy105Row" hidden="1">#REF!</definedName>
    <definedName name="XRefCopy106Row" hidden="1">#REF!</definedName>
    <definedName name="XRefCopy107Row" hidden="1">#REF!</definedName>
    <definedName name="XRefCopy108Row" hidden="1">#REF!</definedName>
    <definedName name="XRefCopy109Row" hidden="1">#REF!</definedName>
    <definedName name="XRefCopy10Row" hidden="1">#REF!</definedName>
    <definedName name="XRefCopy11" hidden="1">[23]SUMMARY!#REF!</definedName>
    <definedName name="XRefCopy110Row" hidden="1">#REF!</definedName>
    <definedName name="XRefCopy111Row" hidden="1">#REF!</definedName>
    <definedName name="XRefCopy112Row" hidden="1">#REF!</definedName>
    <definedName name="XRefCopy113Row" hidden="1">#REF!</definedName>
    <definedName name="XRefCopy114Row" hidden="1">#REF!</definedName>
    <definedName name="XRefCopy11Row" hidden="1">#REF!</definedName>
    <definedName name="XRefCopy12" hidden="1">'[17]Oustanding Balances'!#REF!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5Row" hidden="1">#REF!</definedName>
    <definedName name="XRefCopy146Row" hidden="1">#REF!</definedName>
    <definedName name="XRefCopy148Row" hidden="1">#REF!</definedName>
    <definedName name="XRefCopy149Row" hidden="1">#REF!</definedName>
    <definedName name="XRefCopy14Row" hidden="1">#REF!</definedName>
    <definedName name="XRefCopy15" hidden="1">#REF!</definedName>
    <definedName name="XRefCopy150" hidden="1">[19]UI!#REF!</definedName>
    <definedName name="XRefCopy150Row" hidden="1">#REF!</definedName>
    <definedName name="XRefCopy151Row" hidden="1">#REF!</definedName>
    <definedName name="XRefCopy152Row" hidden="1">#REF!</definedName>
    <definedName name="XRefCopy153Row" hidden="1">#REF!</definedName>
    <definedName name="XRefCopy155Row" hidden="1">#REF!</definedName>
    <definedName name="XRefCopy156Row" hidden="1">#REF!</definedName>
    <definedName name="XRefCopy157Row" hidden="1">#REF!</definedName>
    <definedName name="XRefCopy158Row" hidden="1">#REF!</definedName>
    <definedName name="XRefCopy159Row" hidden="1">#REF!</definedName>
    <definedName name="XRefCopy15Row" hidden="1">#REF!</definedName>
    <definedName name="XRefCopy16" hidden="1">#REF!</definedName>
    <definedName name="XRefCopy160" hidden="1">[19]UI!#REF!</definedName>
    <definedName name="XRefCopy160Row" hidden="1">#REF!</definedName>
    <definedName name="XRefCopy161" hidden="1">[19]UI!#REF!</definedName>
    <definedName name="XRefCopy161Row" hidden="1">#REF!</definedName>
    <definedName name="XRefCopy162" hidden="1">[19]UI!#REF!</definedName>
    <definedName name="XRefCopy162Row" hidden="1">#REF!</definedName>
    <definedName name="XRefCopy163Row" hidden="1">#REF!</definedName>
    <definedName name="XRefCopy165Row" hidden="1">#REF!</definedName>
    <definedName name="XRefCopy166" hidden="1">'[19]REVENUE SCHEDULE-'!#REF!</definedName>
    <definedName name="XRefCopy166Row" hidden="1">#REF!</definedName>
    <definedName name="XRefCopy167" hidden="1">'[19]REVENUE SCHEDULE-'!#REF!</definedName>
    <definedName name="XRefCopy167Row" hidden="1">#REF!</definedName>
    <definedName name="XRefCopy168Row" hidden="1">#REF!</definedName>
    <definedName name="XRefCopy169Row" hidden="1">#REF!</definedName>
    <definedName name="XRefCopy16Row" hidden="1">#REF!</definedName>
    <definedName name="XRefCopy17" hidden="1">#REF!</definedName>
    <definedName name="XRefCopy170Row" hidden="1">#REF!</definedName>
    <definedName name="XRefCopy171Row" hidden="1">#REF!</definedName>
    <definedName name="XRefCopy172Row" hidden="1">#REF!</definedName>
    <definedName name="XRefCopy173Row" hidden="1">#REF!</definedName>
    <definedName name="XRefCopy174Row" hidden="1">#REF!</definedName>
    <definedName name="XRefCopy175Row" hidden="1">#REF!</definedName>
    <definedName name="XRefCopy176Row" hidden="1">#REF!</definedName>
    <definedName name="XRefCopy177" hidden="1">'[19]REVENUE SCHEDULE-'!#REF!</definedName>
    <definedName name="XRefCopy177Row" hidden="1">#REF!</definedName>
    <definedName name="XRefCopy178" hidden="1">'[19]REVENUE SCHEDULE-'!#REF!</definedName>
    <definedName name="XRefCopy179" hidden="1">'[19]REVENUE SCHEDULE-'!#REF!</definedName>
    <definedName name="XRefCopy179Row" hidden="1">#REF!</definedName>
    <definedName name="XRefCopy17Row" hidden="1">#REF!</definedName>
    <definedName name="XRefCopy18" hidden="1">#REF!</definedName>
    <definedName name="XRefCopy180Row" hidden="1">#REF!</definedName>
    <definedName name="XRefCopy181Row" hidden="1">#REF!</definedName>
    <definedName name="XRefCopy182" hidden="1">'[19]REVENUE SCHEDULE-'!#REF!</definedName>
    <definedName name="XRefCopy183" hidden="1">'[19]REVENUE SCHEDULE-'!#REF!</definedName>
    <definedName name="XRefCopy183Row" hidden="1">#REF!</definedName>
    <definedName name="XRefCopy184Row" hidden="1">#REF!</definedName>
    <definedName name="XRefCopy185Row" hidden="1">#REF!</definedName>
    <definedName name="XRefCopy186Row" hidden="1">#REF!</definedName>
    <definedName name="XRefCopy187Row" hidden="1">#REF!</definedName>
    <definedName name="XRefCopy188Row" hidden="1">#REF!</definedName>
    <definedName name="XRefCopy189Row" hidden="1">#REF!</definedName>
    <definedName name="XRefCopy18Row" hidden="1">#REF!</definedName>
    <definedName name="XRefCopy19" hidden="1">'[26]FCCB '!#REF!</definedName>
    <definedName name="XRefCopy190Row" hidden="1">#REF!</definedName>
    <definedName name="XRefCopy191Row" hidden="1">#REF!</definedName>
    <definedName name="XRefCopy192Row" hidden="1">#REF!</definedName>
    <definedName name="XRefCopy193Row" hidden="1">#REF!</definedName>
    <definedName name="XRefCopy194Row" hidden="1">#REF!</definedName>
    <definedName name="XRefCopy195Row" hidden="1">#REF!</definedName>
    <definedName name="XRefCopy196Row" hidden="1">#REF!</definedName>
    <definedName name="XRefCopy197Row" hidden="1">#REF!</definedName>
    <definedName name="XRefCopy198Row" hidden="1">#REF!</definedName>
    <definedName name="XRefCopy199Row" hidden="1">#REF!</definedName>
    <definedName name="XRefCopy19Row" hidden="1">#REF!</definedName>
    <definedName name="XRefCopy1Row" hidden="1">#REF!</definedName>
    <definedName name="XRefCopy2" hidden="1">'[26]FCCB '!#REF!</definedName>
    <definedName name="XRefCopy20" hidden="1">'[26]FCCB '!#REF!</definedName>
    <definedName name="XRefCopy201Row" hidden="1">#REF!</definedName>
    <definedName name="XRefCopy202Row" hidden="1">#REF!</definedName>
    <definedName name="XRefCopy203Row" hidden="1">#REF!</definedName>
    <definedName name="XRefCopy205Row" hidden="1">#REF!</definedName>
    <definedName name="XRefCopy207Row" hidden="1">#REF!</definedName>
    <definedName name="XRefCopy20Row" hidden="1">#REF!</definedName>
    <definedName name="XRefCopy21" hidden="1">'[26]FCCB '!#REF!</definedName>
    <definedName name="XRefCopy210Row" hidden="1">#REF!</definedName>
    <definedName name="XRefCopy211Row" hidden="1">#REF!</definedName>
    <definedName name="XRefCopy212Row" hidden="1">#REF!</definedName>
    <definedName name="XRefCopy213Row" hidden="1">#REF!</definedName>
    <definedName name="XRefCopy214Row" hidden="1">#REF!</definedName>
    <definedName name="XRefCopy215Row" hidden="1">#REF!</definedName>
    <definedName name="XRefCopy216Row" hidden="1">#REF!</definedName>
    <definedName name="XRefCopy217Row" hidden="1">#REF!</definedName>
    <definedName name="XRefCopy218Row" hidden="1">#REF!</definedName>
    <definedName name="XRefCopy219Row" hidden="1">#REF!</definedName>
    <definedName name="XRefCopy21Row" hidden="1">#REF!</definedName>
    <definedName name="XRefCopy22" hidden="1">#REF!</definedName>
    <definedName name="XRefCopy220Row" hidden="1">#REF!</definedName>
    <definedName name="XRefCopy221Row" hidden="1">#REF!</definedName>
    <definedName name="XRefCopy222Row" hidden="1">#REF!</definedName>
    <definedName name="XRefCopy223Row" hidden="1">#REF!</definedName>
    <definedName name="XRefCopy224Row" hidden="1">#REF!</definedName>
    <definedName name="XRefCopy225Row" hidden="1">#REF!</definedName>
    <definedName name="XRefCopy226Row" hidden="1">#REF!</definedName>
    <definedName name="XRefCopy228Row" hidden="1">#REF!</definedName>
    <definedName name="XRefCopy229Row" hidden="1">#REF!</definedName>
    <definedName name="XRefCopy22Row" hidden="1">[24]XREF!$A$3:$IV$3</definedName>
    <definedName name="XRefCopy23" hidden="1">'[17]Oustanding Balances'!#REF!</definedName>
    <definedName name="XRefCopy230Row" hidden="1">#REF!</definedName>
    <definedName name="XRefCopy23Row" hidden="1">#REF!</definedName>
    <definedName name="XRefCopy24" hidden="1">#REF!</definedName>
    <definedName name="XRefCopy24Row" hidden="1">[24]XREF!$A$5:$IV$5</definedName>
    <definedName name="XRefCopy25Row" hidden="1">[24]XREF!$A$6:$IV$6</definedName>
    <definedName name="XRefCopy26" hidden="1">'[17]Oustanding Balances'!#REF!</definedName>
    <definedName name="XRefCopy26Row" hidden="1">[24]XREF!$A$7:$IV$7</definedName>
    <definedName name="XRefCopy27" hidden="1">'[24]12'!$J$28</definedName>
    <definedName name="XRefCopy27Row" hidden="1">[24]XREF!$A$8:$IV$8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[27]XREF!#REF!</definedName>
    <definedName name="XRefCopy3" hidden="1">'[17]Oustanding Balances'!#REF!</definedName>
    <definedName name="XRefCopy30" hidden="1">#REF!</definedName>
    <definedName name="XRefCopy30Row" hidden="1">#REF!</definedName>
    <definedName name="XRefCopy31Row" hidden="1">#REF!</definedName>
    <definedName name="XRefCopy32" hidden="1">#REF!</definedName>
    <definedName name="XRefCopy35Row" hidden="1">#REF!</definedName>
    <definedName name="XRefCopy36" hidden="1">#REF!</definedName>
    <definedName name="XRefCopy36Row" hidden="1">#REF!</definedName>
    <definedName name="XRefCopy37" hidden="1">#REF!</definedName>
    <definedName name="XRefCopy38Row" hidden="1">#REF!</definedName>
    <definedName name="XRefCopy39Row" hidden="1">#REF!</definedName>
    <definedName name="XRefCopy3Row" hidden="1">#REF!</definedName>
    <definedName name="XRefCopy4" hidden="1">#REF!</definedName>
    <definedName name="XRefCopy40Row" hidden="1">#REF!</definedName>
    <definedName name="XRefCopy41Row" hidden="1">#REF!</definedName>
    <definedName name="XRefCopy44Row" hidden="1">#REF!</definedName>
    <definedName name="XRefCopy45Row" hidden="1">#REF!</definedName>
    <definedName name="XRefCopy46Row" hidden="1">#REF!</definedName>
    <definedName name="XRefCopy4Row" hidden="1">#REF!</definedName>
    <definedName name="XRefCopy5" hidden="1">#REF!</definedName>
    <definedName name="XRefCopy56" hidden="1">#REF!</definedName>
    <definedName name="XRefCopy57" hidden="1">#REF!</definedName>
    <definedName name="XRefCopy57Row" hidden="1">#REF!</definedName>
    <definedName name="XRefCopy5Row" hidden="1">#REF!</definedName>
    <definedName name="XRefCopy6" hidden="1">#REF!</definedName>
    <definedName name="XRefCopy60Row" hidden="1">#REF!</definedName>
    <definedName name="XRefCopy61Row" hidden="1">#REF!</definedName>
    <definedName name="XRefCopy62Row" hidden="1">#REF!</definedName>
    <definedName name="XRefCopy63Row" hidden="1">#REF!</definedName>
    <definedName name="XRefCopy64Row" hidden="1">#REF!</definedName>
    <definedName name="XRefCopy65Row" hidden="1">#REF!</definedName>
    <definedName name="XRefCopy66Row" hidden="1">#REF!</definedName>
    <definedName name="XRefCopy67Row" hidden="1">#REF!</definedName>
    <definedName name="XRefCopy68Row" hidden="1">#REF!</definedName>
    <definedName name="XRefCopy69Row" hidden="1">#REF!</definedName>
    <definedName name="XRefCopy6Row" hidden="1">#REF!</definedName>
    <definedName name="XRefCopy7" hidden="1">#REF!</definedName>
    <definedName name="XRefCopy70Row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Row" hidden="1">#REF!</definedName>
    <definedName name="XRefCopy75Row" hidden="1">#REF!</definedName>
    <definedName name="XRefCopy76Row" hidden="1">#REF!</definedName>
    <definedName name="XRefCopy77Row" hidden="1">#REF!</definedName>
    <definedName name="XRefCopy78" hidden="1">'[19]15 Days provn-our working'!#REF!</definedName>
    <definedName name="XRefCopy78Row" hidden="1">#REF!</definedName>
    <definedName name="XRefCopy79" hidden="1">'[20]15 Days provn-our working'!#REF!</definedName>
    <definedName name="XRefCopy79Row" hidden="1">#REF!</definedName>
    <definedName name="XRefCopy7Row" hidden="1">#REF!</definedName>
    <definedName name="XRefCopy8" hidden="1">'[17]Oustanding Balances'!#REF!</definedName>
    <definedName name="XRefCopy80Row" hidden="1">#REF!</definedName>
    <definedName name="XRefCopy81" hidden="1">'[20]15 Days provn-our working'!#REF!</definedName>
    <definedName name="XRefCopy81Row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Row" hidden="1">#REF!</definedName>
    <definedName name="XRefCopy86Row" hidden="1">[28]XREF!#REF!</definedName>
    <definedName name="XRefCopy87Row" hidden="1">#REF!</definedName>
    <definedName name="XRefCopy88Row" hidden="1">#REF!</definedName>
    <definedName name="XRefCopy89Row" hidden="1">#REF!</definedName>
    <definedName name="XRefCopy8Row" hidden="1">#REF!</definedName>
    <definedName name="XRefCopy9" hidden="1">#REF!</definedName>
    <definedName name="XRefCopy90Row" hidden="1">#REF!</definedName>
    <definedName name="XRefCopy91Row" hidden="1">#REF!</definedName>
    <definedName name="XRefCopy92Row" hidden="1">#REF!</definedName>
    <definedName name="XRefCopy93Row" hidden="1">#REF!</definedName>
    <definedName name="XRefCopy94Row" hidden="1">#REF!</definedName>
    <definedName name="XRefCopy95Row" hidden="1">#REF!</definedName>
    <definedName name="XRefCopy96Row" hidden="1">#REF!</definedName>
    <definedName name="XRefCopy97Row" hidden="1">#REF!</definedName>
    <definedName name="XRefCopy99Row" hidden="1">#REF!</definedName>
    <definedName name="XRefCopy9Row" hidden="1">#REF!</definedName>
    <definedName name="XRefCopyRangeCount" hidden="1">2</definedName>
    <definedName name="XRefPaste1" hidden="1">#REF!</definedName>
    <definedName name="XRefPaste10Row" hidden="1">#REF!</definedName>
    <definedName name="XRefPaste11Row" hidden="1">#REF!</definedName>
    <definedName name="XRefPaste12Row" hidden="1">#REF!</definedName>
    <definedName name="XRefPaste136Row" hidden="1">[28]XREF!#REF!</definedName>
    <definedName name="XRefPaste137Row" hidden="1">[28]XREF!#REF!</definedName>
    <definedName name="XRefPaste13Row" hidden="1">#REF!</definedName>
    <definedName name="XRefPaste14Row" hidden="1">#REF!</definedName>
    <definedName name="XRefPaste15Row" hidden="1">#REF!</definedName>
    <definedName name="XRefPaste16Row" hidden="1">#REF!</definedName>
    <definedName name="XRefPaste17" hidden="1">'[20]15 Days provn-our working'!#REF!</definedName>
    <definedName name="XRefPaste173Row" hidden="1">#REF!</definedName>
    <definedName name="XRefPaste174Row" hidden="1">#REF!</definedName>
    <definedName name="XRefPaste175Row" hidden="1">#REF!</definedName>
    <definedName name="XRefPaste176" hidden="1">#REF!</definedName>
    <definedName name="XRefPaste176Row" hidden="1">#REF!</definedName>
    <definedName name="XRefPaste177Row" hidden="1">#REF!</definedName>
    <definedName name="XRefPaste178" hidden="1">[19]UI!#REF!</definedName>
    <definedName name="XRefPaste178Row" hidden="1">#REF!</definedName>
    <definedName name="XRefPaste179Row" hidden="1">#REF!</definedName>
    <definedName name="XRefPaste17Row" hidden="1">#REF!</definedName>
    <definedName name="XRefPaste18" hidden="1">'[20]15 Days provn-our working'!#REF!</definedName>
    <definedName name="XRefPaste180Row" hidden="1">#REF!</definedName>
    <definedName name="XRefPaste182Row" hidden="1">#REF!</definedName>
    <definedName name="XRefPaste183Row" hidden="1">#REF!</definedName>
    <definedName name="XRefPaste184Row" hidden="1">#REF!</definedName>
    <definedName name="XRefPaste185Row" hidden="1">#REF!</definedName>
    <definedName name="XRefPaste186" hidden="1">[19]UI!#REF!</definedName>
    <definedName name="XRefPaste186Row" hidden="1">#REF!</definedName>
    <definedName name="XRefPaste187" hidden="1">[19]UI!#REF!</definedName>
    <definedName name="XRefPaste187Row" hidden="1">#REF!</definedName>
    <definedName name="XRefPaste188" hidden="1">[19]UI!#REF!</definedName>
    <definedName name="XRefPaste188Row" hidden="1">#REF!</definedName>
    <definedName name="XRefPaste189" hidden="1">[19]UI!#REF!</definedName>
    <definedName name="XRefPaste189Row" hidden="1">#REF!</definedName>
    <definedName name="XRefPaste18Row" hidden="1">#REF!</definedName>
    <definedName name="XRefPaste19" hidden="1">'[20]15 Days provn-our working'!#REF!</definedName>
    <definedName name="XRefPaste190" hidden="1">'[19]REVENUE SCHEDULE-'!#REF!</definedName>
    <definedName name="XRefPaste190Row" hidden="1">#REF!</definedName>
    <definedName name="XRefPaste191" hidden="1">'[19]REVENUE SCHEDULE-'!#REF!</definedName>
    <definedName name="XRefPaste191Row" hidden="1">#REF!</definedName>
    <definedName name="XRefPaste192" hidden="1">[19]UI!#REF!</definedName>
    <definedName name="XRefPaste192Row" hidden="1">#REF!</definedName>
    <definedName name="XRefPaste193" hidden="1">#REF!</definedName>
    <definedName name="XRefPaste193Row" hidden="1">#REF!</definedName>
    <definedName name="XRefPaste194Row" hidden="1">#REF!</definedName>
    <definedName name="XRefPaste195Row" hidden="1">#REF!</definedName>
    <definedName name="XRefPaste196Row" hidden="1">#REF!</definedName>
    <definedName name="XRefPaste197Row" hidden="1">#REF!</definedName>
    <definedName name="XRefPaste198Row" hidden="1">#REF!</definedName>
    <definedName name="XRefPaste199Row" hidden="1">#REF!</definedName>
    <definedName name="XRefPaste19Row" hidden="1">#REF!</definedName>
    <definedName name="XRefPaste1Row" hidden="1">#REF!</definedName>
    <definedName name="XRefPaste20" hidden="1">'[20]15 Days provn-our working'!#REF!</definedName>
    <definedName name="XRefPaste200Row" hidden="1">#REF!</definedName>
    <definedName name="XRefPaste201Row" hidden="1">#REF!</definedName>
    <definedName name="XRefPaste202Row" hidden="1">#REF!</definedName>
    <definedName name="XRefPaste203Row" hidden="1">#REF!</definedName>
    <definedName name="XRefPaste204Row" hidden="1">#REF!</definedName>
    <definedName name="XRefPaste205Row" hidden="1">#REF!</definedName>
    <definedName name="XRefPaste206Row" hidden="1">#REF!</definedName>
    <definedName name="XRefPaste207" hidden="1">'[19]REVENUE SCHEDULE-'!#REF!</definedName>
    <definedName name="XRefPaste207Row" hidden="1">#REF!</definedName>
    <definedName name="XRefPaste208Row" hidden="1">#REF!</definedName>
    <definedName name="XRefPaste209Row" hidden="1">#REF!</definedName>
    <definedName name="XRefPaste20Row" hidden="1">#REF!</definedName>
    <definedName name="XRefPaste210Row" hidden="1">#REF!</definedName>
    <definedName name="XRefPaste211" hidden="1">'[19]Incentives Sep 09'!#REF!</definedName>
    <definedName name="XRefPaste211Row" hidden="1">#REF!</definedName>
    <definedName name="XRefPaste212Row" hidden="1">#REF!</definedName>
    <definedName name="XRefPaste213Row" hidden="1">#REF!</definedName>
    <definedName name="XRefPaste214Row" hidden="1">#REF!</definedName>
    <definedName name="XRefPaste215Row" hidden="1">#REF!</definedName>
    <definedName name="XRefPaste216Row" hidden="1">#REF!</definedName>
    <definedName name="XRefPaste217Row" hidden="1">#REF!</definedName>
    <definedName name="XRefPaste218Row" hidden="1">#REF!</definedName>
    <definedName name="XRefPaste219Row" hidden="1">#REF!</definedName>
    <definedName name="XRefPaste21Row" hidden="1">#REF!</definedName>
    <definedName name="XRefPaste220Row" hidden="1">#REF!</definedName>
    <definedName name="XRefPaste221Row" hidden="1">#REF!</definedName>
    <definedName name="XRefPaste222Row" hidden="1">#REF!</definedName>
    <definedName name="XRefPaste223Row" hidden="1">#REF!</definedName>
    <definedName name="XRefPaste224Row" hidden="1">#REF!</definedName>
    <definedName name="XRefPaste225Row" hidden="1">#REF!</definedName>
    <definedName name="XRefPaste226Row" hidden="1">#REF!</definedName>
    <definedName name="XRefPaste227" hidden="1">'[20]REVENUE SCHEDULE-'!#REF!</definedName>
    <definedName name="XRefPaste227Row" hidden="1">#REF!</definedName>
    <definedName name="XRefPaste228Row" hidden="1">#REF!</definedName>
    <definedName name="XRefPaste22Row" hidden="1">#REF!</definedName>
    <definedName name="XRefPaste230Row" hidden="1">#REF!</definedName>
    <definedName name="XRefPaste233Row" hidden="1">#REF!</definedName>
    <definedName name="XRefPaste234Row" hidden="1">#REF!</definedName>
    <definedName name="XRefPaste235Row" hidden="1">#REF!</definedName>
    <definedName name="XRefPaste236Row" hidden="1">#REF!</definedName>
    <definedName name="XRefPaste237Row" hidden="1">#REF!</definedName>
    <definedName name="XRefPaste238Row" hidden="1">#REF!</definedName>
    <definedName name="XRefPaste239Row" hidden="1">#REF!</definedName>
    <definedName name="XRefPaste240Row" hidden="1">#REF!</definedName>
    <definedName name="XRefPaste241Row" hidden="1">#REF!</definedName>
    <definedName name="XRefPaste242Row" hidden="1">#REF!</definedName>
    <definedName name="XRefPaste243Row" hidden="1">#REF!</definedName>
    <definedName name="XRefPaste244Row" hidden="1">#REF!</definedName>
    <definedName name="XRefPaste245Row" hidden="1">#REF!</definedName>
    <definedName name="XRefPaste246Row" hidden="1">#REF!</definedName>
    <definedName name="XRefPaste247Row" hidden="1">#REF!</definedName>
    <definedName name="XRefPaste248Row" hidden="1">#REF!</definedName>
    <definedName name="XRefPaste24Row" hidden="1">#REF!</definedName>
    <definedName name="XRefPaste25Row" hidden="1">#REF!</definedName>
    <definedName name="XRefPaste26Row" hidden="1">#REF!</definedName>
    <definedName name="XRefPaste27Row" hidden="1">#REF!</definedName>
    <definedName name="XRefPaste28Row" hidden="1">#REF!</definedName>
    <definedName name="XRefPaste29Row" hidden="1">#REF!</definedName>
    <definedName name="XRefPaste2Row" hidden="1">#REF!</definedName>
    <definedName name="XRefPaste32Row" hidden="1">#REF!</definedName>
    <definedName name="XRefPaste33Row" hidden="1">#REF!</definedName>
    <definedName name="XRefPaste34Row" hidden="1">#REF!</definedName>
    <definedName name="XRefPaste35Row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7Row" hidden="1">#REF!</definedName>
    <definedName name="XRefPaste8Row" hidden="1">#REF!</definedName>
    <definedName name="XRefPaste9Row" hidden="1">#REF!</definedName>
    <definedName name="XRefPasteRangeCount" hidden="1">2</definedName>
    <definedName name="xsxa" localSheetId="2" hidden="1">{"'Sheet1'!$A$4386:$N$4591"}</definedName>
    <definedName name="xsxa" localSheetId="4" hidden="1">{"'Sheet1'!$A$4386:$N$4591"}</definedName>
    <definedName name="xsxa" localSheetId="3" hidden="1">{"'Sheet1'!$A$4386:$N$4591"}</definedName>
    <definedName name="xsxa" localSheetId="5" hidden="1">{"'Sheet1'!$A$4386:$N$4591"}</definedName>
    <definedName name="xsxa" hidden="1">{"'Sheet1'!$A$4386:$N$4591"}</definedName>
    <definedName name="xx" hidden="1">#REF!</definedName>
    <definedName name="xxx" localSheetId="4" hidden="1">[2]CE!#REF!</definedName>
    <definedName name="xxx" localSheetId="3" hidden="1">[2]CE!#REF!</definedName>
    <definedName name="xxx" localSheetId="5" hidden="1">[2]CE!#REF!</definedName>
    <definedName name="xxx" hidden="1">[2]CE!#REF!</definedName>
    <definedName name="xxxx" localSheetId="4" hidden="1">[2]CE!#REF!</definedName>
    <definedName name="xxxx" localSheetId="3" hidden="1">[2]CE!#REF!</definedName>
    <definedName name="xxxx" localSheetId="5" hidden="1">[2]CE!#REF!</definedName>
    <definedName name="xxxx" hidden="1">[2]CE!#REF!</definedName>
    <definedName name="XZZZ" hidden="1">#REF!</definedName>
    <definedName name="Y" hidden="1">'[29]Eq. Mobilization'!#REF!</definedName>
    <definedName name="yi" hidden="1">{"'Sheet1'!$L$16"}</definedName>
    <definedName name="계전2" hidden="1">#REF!</definedName>
    <definedName name="ㄴㅇㄹㅇㄹ" hidden="1">'[29]Eq. Mobilization'!#REF!</definedName>
    <definedName name="대" hidden="1">{"Edition",#N/A,FALSE,"Data"}</definedName>
    <definedName name="ㄹㅇㄴ" hidden="1">{"'Sheet1'!$L$16"}</definedName>
    <definedName name="ㅁㅁㅁㅁ" hidden="1">{"Edition",#N/A,FALSE,"Data"}</definedName>
    <definedName name="몰라" hidden="1">{"Edition",#N/A,FALSE,"Data"}</definedName>
    <definedName name="ㅅㄷ" hidden="1">{"'Sheet1'!$L$16"}</definedName>
    <definedName name="영흥" hidden="1">{"Edition",#N/A,FALSE,"Data"}</definedName>
    <definedName name="영흥2" hidden="1">{"Edition",#N/A,FALSE,"Data"}</definedName>
    <definedName name="위치" hidden="1">{"Edition",#N/A,FALSE,"Data"}</definedName>
    <definedName name="ㅊㅌㅍㅊㅍㅊㅌㅍㅊㅌㅍㅊㅌㅍㅊㅌㅍㅊㅌㅍ" hidden="1">'[30]Eq. Mobilization'!#REF!</definedName>
    <definedName name="ㅊㅌㅍㅊㅍㅌㅋㅊㅍㅌㅊㅍ" hidden="1">'[30]Eq. Mobilization'!#REF!</definedName>
    <definedName name="ㅊㅌㅍㅋㅊㅍㅌㅊㅍㅌㅊㅍ" hidden="1">'[30]Eq. Mobilization'!#REF!</definedName>
    <definedName name="ㅊㅌㅍㅌㅊㅍㅊㅌㅍㅌㅊㅍㅌㅊㅍ" hidden="1">'[30]Eq. Mobilization'!#REF!</definedName>
    <definedName name="추" hidden="1">{"'Sheet1'!$L$16"}</definedName>
    <definedName name="추가분" hidden="1">{"'장비'!$A$3:$M$12"}</definedName>
    <definedName name="ㅋ" hidden="1">'[30]Eq. Mobilization'!#REF!</definedName>
    <definedName name="ㅋㅋㅋㅋ" hidden="1">'[30]Eq. Mobilization'!#REF!</definedName>
    <definedName name="ㅋㅋㅋㅋㅋㅋ" hidden="1">'[30]Eq. Mobilization'!#REF!</definedName>
    <definedName name="ㅋㅋㅋㅋㅋㅋㅋㅋㅋ" hidden="1">'[30]Eq. Mobilization'!#REF!</definedName>
    <definedName name="ㅌㅊㅍㅌㅊㅍㅌㅋㅊㅍㅌ" hidden="1">'[30]Eq. Mobilization'!#REF!</definedName>
    <definedName name="토목변경" hidden="1">{"'장비'!$A$3:$M$12"}</definedName>
    <definedName name="토목실행예산" hidden="1">{"'장비'!$A$3:$M$12"}</definedName>
    <definedName name="토목조정분" hidden="1">{"'장비'!$A$3:$M$12"}</definedName>
    <definedName name="ㅎㅎㄹ" hidden="1">{"Edition",#N/A,FALSE,"Data"}</definedName>
    <definedName name="할" hidden="1">{"'Sheet1'!$L$16"}</definedName>
    <definedName name="항" hidden="1">{"'Sheet1'!$L$16"}</definedName>
    <definedName name="ㅏ1" hidden="1">#REF!</definedName>
    <definedName name="ㅑㅅ" hidden="1">{"'Sheet1'!$L$16"}</definedName>
    <definedName name="ㅘ" hidden="1">{"'Sheet1'!$L$16"}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2" i="8" l="1"/>
  <c r="D183" i="7" l="1"/>
  <c r="D189" i="7"/>
  <c r="D188" i="7"/>
  <c r="D187" i="7"/>
  <c r="D182" i="7"/>
  <c r="D178" i="7"/>
  <c r="D202" i="7" l="1"/>
  <c r="D208" i="7"/>
  <c r="D207" i="7"/>
  <c r="D201" i="7"/>
  <c r="D198" i="7"/>
  <c r="AK37" i="8" l="1"/>
  <c r="AH37" i="8"/>
  <c r="U34" i="8" l="1"/>
  <c r="C31" i="8"/>
  <c r="C32" i="8"/>
  <c r="C32" i="9"/>
  <c r="C38" i="25" l="1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C19" i="25"/>
  <c r="D18" i="25"/>
  <c r="D17" i="25"/>
  <c r="D16" i="25"/>
  <c r="D15" i="25"/>
  <c r="D14" i="25"/>
  <c r="D13" i="25"/>
  <c r="D12" i="25"/>
  <c r="D11" i="25"/>
  <c r="D10" i="25"/>
  <c r="D9" i="25"/>
  <c r="D8" i="25"/>
  <c r="D7" i="25"/>
  <c r="D6" i="25"/>
  <c r="H32" i="24"/>
  <c r="G32" i="24"/>
  <c r="I32" i="24" s="1"/>
  <c r="F32" i="24"/>
  <c r="G31" i="24"/>
  <c r="I31" i="24" s="1"/>
  <c r="F31" i="24"/>
  <c r="H30" i="24"/>
  <c r="F30" i="24"/>
  <c r="G30" i="24"/>
  <c r="I30" i="24" s="1"/>
  <c r="G29" i="24"/>
  <c r="H29" i="24"/>
  <c r="I29" i="24" s="1"/>
  <c r="F29" i="24"/>
  <c r="H28" i="24"/>
  <c r="G28" i="24"/>
  <c r="I28" i="24" s="1"/>
  <c r="G27" i="24"/>
  <c r="F27" i="24"/>
  <c r="H26" i="24"/>
  <c r="F26" i="24"/>
  <c r="F25" i="24"/>
  <c r="F24" i="24"/>
  <c r="F23" i="24"/>
  <c r="F22" i="24"/>
  <c r="F21" i="24"/>
  <c r="F20" i="24"/>
  <c r="E33" i="24"/>
  <c r="F19" i="24"/>
  <c r="F13" i="24"/>
  <c r="D8" i="24"/>
  <c r="J5" i="24"/>
  <c r="I5" i="24"/>
  <c r="H5" i="24"/>
  <c r="G5" i="24"/>
  <c r="F5" i="24"/>
  <c r="C22" i="23"/>
  <c r="C23" i="23" s="1"/>
  <c r="H20" i="23"/>
  <c r="H14" i="23"/>
  <c r="H13" i="23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1" i="21"/>
  <c r="C70" i="21"/>
  <c r="C69" i="21"/>
  <c r="C68" i="21"/>
  <c r="C67" i="21"/>
  <c r="C66" i="21"/>
  <c r="C65" i="21"/>
  <c r="C63" i="21"/>
  <c r="C62" i="21"/>
  <c r="C61" i="21"/>
  <c r="C60" i="21"/>
  <c r="C59" i="21"/>
  <c r="AH54" i="21"/>
  <c r="AF54" i="21"/>
  <c r="AE54" i="21"/>
  <c r="AC54" i="21"/>
  <c r="Z54" i="21"/>
  <c r="X54" i="21"/>
  <c r="C53" i="21"/>
  <c r="C52" i="21"/>
  <c r="C51" i="21"/>
  <c r="C50" i="21"/>
  <c r="C49" i="21"/>
  <c r="C48" i="21"/>
  <c r="C47" i="21"/>
  <c r="H46" i="21"/>
  <c r="C45" i="21"/>
  <c r="C44" i="21"/>
  <c r="C43" i="21"/>
  <c r="C42" i="21"/>
  <c r="C41" i="21"/>
  <c r="AH36" i="21"/>
  <c r="AF36" i="21"/>
  <c r="AE36" i="21"/>
  <c r="AC36" i="21"/>
  <c r="Z36" i="21"/>
  <c r="X36" i="21"/>
  <c r="C35" i="21"/>
  <c r="C34" i="21"/>
  <c r="C33" i="21"/>
  <c r="C32" i="21"/>
  <c r="C31" i="21"/>
  <c r="C30" i="21"/>
  <c r="C29" i="21"/>
  <c r="H28" i="21"/>
  <c r="C27" i="21"/>
  <c r="C26" i="21"/>
  <c r="C25" i="21"/>
  <c r="C24" i="21"/>
  <c r="C23" i="21"/>
  <c r="C17" i="21"/>
  <c r="C16" i="21"/>
  <c r="C15" i="21"/>
  <c r="C14" i="21"/>
  <c r="C13" i="21"/>
  <c r="C12" i="21"/>
  <c r="C11" i="21"/>
  <c r="C9" i="21"/>
  <c r="C8" i="21"/>
  <c r="C7" i="21"/>
  <c r="C6" i="21"/>
  <c r="C5" i="21"/>
  <c r="F23" i="20"/>
  <c r="F27" i="20" s="1"/>
  <c r="D23" i="20"/>
  <c r="D27" i="20" s="1"/>
  <c r="F22" i="20"/>
  <c r="F26" i="20" s="1"/>
  <c r="D22" i="20"/>
  <c r="D26" i="20" s="1"/>
  <c r="F21" i="20"/>
  <c r="F25" i="20" s="1"/>
  <c r="D21" i="20"/>
  <c r="D25" i="20" s="1"/>
  <c r="Y114" i="19"/>
  <c r="X114" i="19"/>
  <c r="Z113" i="19"/>
  <c r="Z114" i="19" s="1"/>
  <c r="T113" i="19"/>
  <c r="P113" i="19"/>
  <c r="O113" i="19"/>
  <c r="I113" i="19"/>
  <c r="C113" i="19"/>
  <c r="T112" i="19"/>
  <c r="P112" i="19"/>
  <c r="O112" i="19"/>
  <c r="I112" i="19"/>
  <c r="C112" i="19"/>
  <c r="T111" i="19"/>
  <c r="P111" i="19"/>
  <c r="O111" i="19"/>
  <c r="I111" i="19"/>
  <c r="C111" i="19"/>
  <c r="T110" i="19"/>
  <c r="P110" i="19"/>
  <c r="O110" i="19"/>
  <c r="I110" i="19"/>
  <c r="C110" i="19"/>
  <c r="T109" i="19"/>
  <c r="P109" i="19"/>
  <c r="O109" i="19"/>
  <c r="I109" i="19"/>
  <c r="C109" i="19"/>
  <c r="T108" i="19"/>
  <c r="P108" i="19"/>
  <c r="O108" i="19"/>
  <c r="I108" i="19"/>
  <c r="C108" i="19"/>
  <c r="T107" i="19"/>
  <c r="P107" i="19"/>
  <c r="O107" i="19"/>
  <c r="I107" i="19"/>
  <c r="C107" i="19"/>
  <c r="T106" i="19"/>
  <c r="P106" i="19"/>
  <c r="O106" i="19"/>
  <c r="I106" i="19"/>
  <c r="C106" i="19"/>
  <c r="T105" i="19"/>
  <c r="P105" i="19"/>
  <c r="O105" i="19"/>
  <c r="I105" i="19"/>
  <c r="C105" i="19"/>
  <c r="T104" i="19"/>
  <c r="P104" i="19"/>
  <c r="O104" i="19"/>
  <c r="I104" i="19"/>
  <c r="C104" i="19"/>
  <c r="T103" i="19"/>
  <c r="P103" i="19"/>
  <c r="O103" i="19"/>
  <c r="I103" i="19"/>
  <c r="C103" i="19"/>
  <c r="T102" i="19"/>
  <c r="P102" i="19"/>
  <c r="O102" i="19"/>
  <c r="I102" i="19"/>
  <c r="C102" i="19"/>
  <c r="T101" i="19"/>
  <c r="P101" i="19"/>
  <c r="O101" i="19"/>
  <c r="I101" i="19"/>
  <c r="C101" i="19"/>
  <c r="T100" i="19"/>
  <c r="R114" i="19"/>
  <c r="P100" i="19"/>
  <c r="P114" i="19" s="1"/>
  <c r="O100" i="19"/>
  <c r="O114" i="19" s="1"/>
  <c r="I100" i="19"/>
  <c r="I114" i="19" s="1"/>
  <c r="C100" i="19"/>
  <c r="Y95" i="19"/>
  <c r="X95" i="19"/>
  <c r="Z94" i="19"/>
  <c r="Z95" i="19" s="1"/>
  <c r="T94" i="19"/>
  <c r="P94" i="19"/>
  <c r="O94" i="19"/>
  <c r="I94" i="19"/>
  <c r="C94" i="19"/>
  <c r="T93" i="19"/>
  <c r="P93" i="19"/>
  <c r="O93" i="19"/>
  <c r="I93" i="19"/>
  <c r="C93" i="19"/>
  <c r="T92" i="19"/>
  <c r="P92" i="19"/>
  <c r="O92" i="19"/>
  <c r="I92" i="19"/>
  <c r="C92" i="19"/>
  <c r="T91" i="19"/>
  <c r="P91" i="19"/>
  <c r="O91" i="19"/>
  <c r="I91" i="19"/>
  <c r="C91" i="19"/>
  <c r="T90" i="19"/>
  <c r="P90" i="19"/>
  <c r="O90" i="19"/>
  <c r="I90" i="19"/>
  <c r="C90" i="19"/>
  <c r="T89" i="19"/>
  <c r="P89" i="19"/>
  <c r="O89" i="19"/>
  <c r="I89" i="19"/>
  <c r="C89" i="19"/>
  <c r="T88" i="19"/>
  <c r="P88" i="19"/>
  <c r="O88" i="19"/>
  <c r="I88" i="19"/>
  <c r="C88" i="19"/>
  <c r="T87" i="19"/>
  <c r="P87" i="19"/>
  <c r="O87" i="19"/>
  <c r="I87" i="19"/>
  <c r="C87" i="19"/>
  <c r="T86" i="19"/>
  <c r="P86" i="19"/>
  <c r="O86" i="19"/>
  <c r="I86" i="19"/>
  <c r="C86" i="19"/>
  <c r="T85" i="19"/>
  <c r="P85" i="19"/>
  <c r="O85" i="19"/>
  <c r="I85" i="19"/>
  <c r="C85" i="19"/>
  <c r="T84" i="19"/>
  <c r="P84" i="19"/>
  <c r="O84" i="19"/>
  <c r="I84" i="19"/>
  <c r="C84" i="19"/>
  <c r="T83" i="19"/>
  <c r="P83" i="19"/>
  <c r="O83" i="19"/>
  <c r="I83" i="19"/>
  <c r="C83" i="19"/>
  <c r="T82" i="19"/>
  <c r="P82" i="19"/>
  <c r="O82" i="19"/>
  <c r="I82" i="19"/>
  <c r="C82" i="19"/>
  <c r="T81" i="19"/>
  <c r="R95" i="19"/>
  <c r="P81" i="19"/>
  <c r="P95" i="19" s="1"/>
  <c r="O81" i="19"/>
  <c r="I81" i="19"/>
  <c r="I95" i="19" s="1"/>
  <c r="C81" i="19"/>
  <c r="C95" i="19" s="1"/>
  <c r="Z76" i="19"/>
  <c r="Y76" i="19"/>
  <c r="X76" i="19"/>
  <c r="AA13" i="23" s="1"/>
  <c r="Z75" i="19"/>
  <c r="AB13" i="23" s="1"/>
  <c r="T75" i="19"/>
  <c r="P75" i="19"/>
  <c r="O75" i="19"/>
  <c r="I75" i="19"/>
  <c r="C75" i="19"/>
  <c r="T74" i="19"/>
  <c r="P74" i="19"/>
  <c r="O74" i="19"/>
  <c r="I74" i="19"/>
  <c r="C74" i="19"/>
  <c r="T73" i="19"/>
  <c r="P73" i="19"/>
  <c r="O73" i="19"/>
  <c r="I73" i="19"/>
  <c r="C73" i="19"/>
  <c r="T72" i="19"/>
  <c r="P72" i="19"/>
  <c r="O72" i="19"/>
  <c r="I72" i="19"/>
  <c r="C72" i="19"/>
  <c r="T71" i="19"/>
  <c r="P71" i="19"/>
  <c r="O71" i="19"/>
  <c r="I71" i="19"/>
  <c r="C71" i="19"/>
  <c r="T70" i="19"/>
  <c r="P70" i="19"/>
  <c r="O70" i="19"/>
  <c r="I70" i="19"/>
  <c r="C70" i="19"/>
  <c r="T69" i="19"/>
  <c r="P69" i="19"/>
  <c r="O69" i="19"/>
  <c r="I69" i="19"/>
  <c r="C69" i="19"/>
  <c r="T68" i="19"/>
  <c r="P68" i="19"/>
  <c r="O68" i="19"/>
  <c r="I68" i="19"/>
  <c r="C68" i="19"/>
  <c r="T67" i="19"/>
  <c r="P67" i="19"/>
  <c r="O67" i="19"/>
  <c r="I67" i="19"/>
  <c r="C67" i="19"/>
  <c r="T66" i="19"/>
  <c r="P66" i="19"/>
  <c r="O66" i="19"/>
  <c r="I66" i="19"/>
  <c r="C66" i="19"/>
  <c r="T65" i="19"/>
  <c r="P65" i="19"/>
  <c r="O65" i="19"/>
  <c r="I65" i="19"/>
  <c r="C65" i="19"/>
  <c r="T64" i="19"/>
  <c r="P64" i="19"/>
  <c r="O64" i="19"/>
  <c r="I64" i="19"/>
  <c r="C64" i="19"/>
  <c r="T63" i="19"/>
  <c r="P63" i="19"/>
  <c r="O63" i="19"/>
  <c r="I63" i="19"/>
  <c r="C63" i="19"/>
  <c r="AB76" i="19"/>
  <c r="T62" i="19"/>
  <c r="T76" i="19" s="1"/>
  <c r="AB11" i="23" s="1"/>
  <c r="S76" i="19"/>
  <c r="R76" i="19"/>
  <c r="AA11" i="23" s="1"/>
  <c r="P62" i="19"/>
  <c r="P76" i="19" s="1"/>
  <c r="O62" i="19"/>
  <c r="O76" i="19" s="1"/>
  <c r="AA10" i="23" s="1"/>
  <c r="I62" i="19"/>
  <c r="I76" i="19" s="1"/>
  <c r="AA8" i="23" s="1"/>
  <c r="C62" i="19"/>
  <c r="Y57" i="19"/>
  <c r="X57" i="19"/>
  <c r="S13" i="23" s="1"/>
  <c r="T56" i="19"/>
  <c r="O56" i="19"/>
  <c r="I56" i="19"/>
  <c r="C56" i="19"/>
  <c r="T55" i="19"/>
  <c r="O55" i="19"/>
  <c r="I55" i="19"/>
  <c r="C55" i="19"/>
  <c r="T54" i="19"/>
  <c r="O54" i="19"/>
  <c r="I54" i="19"/>
  <c r="C54" i="19"/>
  <c r="T53" i="19"/>
  <c r="O53" i="19"/>
  <c r="I53" i="19"/>
  <c r="C53" i="19"/>
  <c r="T52" i="19"/>
  <c r="O52" i="19"/>
  <c r="I52" i="19"/>
  <c r="C52" i="19"/>
  <c r="T51" i="19"/>
  <c r="O51" i="19"/>
  <c r="I51" i="19"/>
  <c r="C51" i="19"/>
  <c r="T50" i="19"/>
  <c r="O50" i="19"/>
  <c r="I50" i="19"/>
  <c r="C50" i="19"/>
  <c r="T49" i="19"/>
  <c r="O49" i="19"/>
  <c r="I49" i="19"/>
  <c r="C49" i="19"/>
  <c r="T48" i="19"/>
  <c r="O48" i="19"/>
  <c r="I48" i="19"/>
  <c r="C48" i="19"/>
  <c r="T47" i="19"/>
  <c r="O47" i="19"/>
  <c r="I47" i="19"/>
  <c r="C47" i="19"/>
  <c r="T46" i="19"/>
  <c r="O46" i="19"/>
  <c r="I46" i="19"/>
  <c r="C46" i="19"/>
  <c r="T45" i="19"/>
  <c r="O45" i="19"/>
  <c r="I45" i="19"/>
  <c r="C45" i="19"/>
  <c r="T44" i="19"/>
  <c r="O44" i="19"/>
  <c r="I44" i="19"/>
  <c r="C44" i="19"/>
  <c r="AB57" i="19"/>
  <c r="S57" i="19"/>
  <c r="O43" i="19"/>
  <c r="O57" i="19" s="1"/>
  <c r="S10" i="23" s="1"/>
  <c r="I43" i="19"/>
  <c r="I57" i="19" s="1"/>
  <c r="S8" i="23" s="1"/>
  <c r="C43" i="19"/>
  <c r="C57" i="19" s="1"/>
  <c r="S6" i="23" s="1"/>
  <c r="Z37" i="19"/>
  <c r="M13" i="23" s="1"/>
  <c r="P13" i="23" s="1"/>
  <c r="Y38" i="19"/>
  <c r="X38" i="19"/>
  <c r="K13" i="23" s="1"/>
  <c r="T37" i="19"/>
  <c r="O37" i="19"/>
  <c r="I37" i="19"/>
  <c r="C37" i="19"/>
  <c r="T36" i="19"/>
  <c r="O36" i="19"/>
  <c r="I36" i="19"/>
  <c r="C36" i="19"/>
  <c r="T35" i="19"/>
  <c r="O35" i="19"/>
  <c r="I35" i="19"/>
  <c r="C35" i="19"/>
  <c r="T34" i="19"/>
  <c r="O34" i="19"/>
  <c r="I34" i="19"/>
  <c r="C34" i="19"/>
  <c r="T33" i="19"/>
  <c r="O33" i="19"/>
  <c r="I33" i="19"/>
  <c r="C33" i="19"/>
  <c r="T32" i="19"/>
  <c r="O32" i="19"/>
  <c r="I32" i="19"/>
  <c r="C32" i="19"/>
  <c r="T31" i="19"/>
  <c r="O31" i="19"/>
  <c r="I31" i="19"/>
  <c r="C31" i="19"/>
  <c r="T30" i="19"/>
  <c r="O30" i="19"/>
  <c r="I30" i="19"/>
  <c r="C30" i="19"/>
  <c r="T29" i="19"/>
  <c r="O29" i="19"/>
  <c r="I29" i="19"/>
  <c r="C29" i="19"/>
  <c r="T28" i="19"/>
  <c r="O28" i="19"/>
  <c r="I28" i="19"/>
  <c r="C28" i="19"/>
  <c r="T27" i="19"/>
  <c r="O27" i="19"/>
  <c r="I27" i="19"/>
  <c r="C27" i="19"/>
  <c r="T26" i="19"/>
  <c r="O26" i="19"/>
  <c r="I26" i="19"/>
  <c r="C26" i="19"/>
  <c r="T25" i="19"/>
  <c r="O25" i="19"/>
  <c r="I25" i="19"/>
  <c r="C25" i="19"/>
  <c r="S38" i="19"/>
  <c r="R38" i="19"/>
  <c r="K11" i="23" s="1"/>
  <c r="O24" i="19"/>
  <c r="O38" i="19" s="1"/>
  <c r="K10" i="23" s="1"/>
  <c r="I24" i="19"/>
  <c r="I38" i="19" s="1"/>
  <c r="K8" i="23" s="1"/>
  <c r="C24" i="19"/>
  <c r="X19" i="19"/>
  <c r="C15" i="23" s="1"/>
  <c r="R19" i="19"/>
  <c r="C11" i="23" s="1"/>
  <c r="Z18" i="19"/>
  <c r="E15" i="23" s="1"/>
  <c r="H15" i="23" s="1"/>
  <c r="Y19" i="19"/>
  <c r="T18" i="19"/>
  <c r="O18" i="19"/>
  <c r="I18" i="19"/>
  <c r="C18" i="19"/>
  <c r="T17" i="19"/>
  <c r="O17" i="19"/>
  <c r="I17" i="19"/>
  <c r="C17" i="19"/>
  <c r="T16" i="19"/>
  <c r="O16" i="19"/>
  <c r="I16" i="19"/>
  <c r="C16" i="19"/>
  <c r="T15" i="19"/>
  <c r="O15" i="19"/>
  <c r="I15" i="19"/>
  <c r="C15" i="19"/>
  <c r="T14" i="19"/>
  <c r="O14" i="19"/>
  <c r="I14" i="19"/>
  <c r="C14" i="19"/>
  <c r="T13" i="19"/>
  <c r="O13" i="19"/>
  <c r="I13" i="19"/>
  <c r="C13" i="19"/>
  <c r="T12" i="19"/>
  <c r="O12" i="19"/>
  <c r="I12" i="19"/>
  <c r="C12" i="19"/>
  <c r="T11" i="19"/>
  <c r="O11" i="19"/>
  <c r="I11" i="19"/>
  <c r="C11" i="19"/>
  <c r="T10" i="19"/>
  <c r="O10" i="19"/>
  <c r="I10" i="19"/>
  <c r="C10" i="19"/>
  <c r="T9" i="19"/>
  <c r="O9" i="19"/>
  <c r="I9" i="19"/>
  <c r="C9" i="19"/>
  <c r="T8" i="19"/>
  <c r="O8" i="19"/>
  <c r="I8" i="19"/>
  <c r="C8" i="19"/>
  <c r="T7" i="19"/>
  <c r="O7" i="19"/>
  <c r="I7" i="19"/>
  <c r="C7" i="19"/>
  <c r="T6" i="19"/>
  <c r="O6" i="19"/>
  <c r="I6" i="19"/>
  <c r="C6" i="19"/>
  <c r="O5" i="19"/>
  <c r="O19" i="19" s="1"/>
  <c r="C10" i="23" s="1"/>
  <c r="I5" i="19"/>
  <c r="I19" i="19" s="1"/>
  <c r="C8" i="23" s="1"/>
  <c r="C5" i="19"/>
  <c r="C19" i="19" s="1"/>
  <c r="C6" i="23" s="1"/>
  <c r="H90" i="18"/>
  <c r="D73" i="18"/>
  <c r="G72" i="18"/>
  <c r="H71" i="18"/>
  <c r="G71" i="18"/>
  <c r="H70" i="18"/>
  <c r="H69" i="18"/>
  <c r="G69" i="18"/>
  <c r="H68" i="18"/>
  <c r="G68" i="18"/>
  <c r="H67" i="18"/>
  <c r="G67" i="18"/>
  <c r="H66" i="18"/>
  <c r="H65" i="18"/>
  <c r="G65" i="18"/>
  <c r="H64" i="18"/>
  <c r="H63" i="18"/>
  <c r="G63" i="18"/>
  <c r="H62" i="18"/>
  <c r="H61" i="18"/>
  <c r="G61" i="18"/>
  <c r="H60" i="18"/>
  <c r="H59" i="18"/>
  <c r="H73" i="18" s="1"/>
  <c r="G59" i="18"/>
  <c r="G54" i="18"/>
  <c r="G53" i="18"/>
  <c r="G51" i="18"/>
  <c r="G50" i="18"/>
  <c r="G49" i="18"/>
  <c r="G47" i="18"/>
  <c r="G45" i="18"/>
  <c r="G43" i="18"/>
  <c r="G41" i="18"/>
  <c r="Z40" i="18"/>
  <c r="U10" i="23" s="1"/>
  <c r="G36" i="18"/>
  <c r="G35" i="18"/>
  <c r="G34" i="18"/>
  <c r="G33" i="18"/>
  <c r="Z34" i="18"/>
  <c r="M10" i="23" s="1"/>
  <c r="G31" i="18"/>
  <c r="G29" i="18"/>
  <c r="G28" i="18"/>
  <c r="G27" i="18"/>
  <c r="Z26" i="18"/>
  <c r="Z27" i="18" s="1"/>
  <c r="G25" i="18"/>
  <c r="G24" i="18"/>
  <c r="Z28" i="18"/>
  <c r="E10" i="23" s="1"/>
  <c r="G23" i="18"/>
  <c r="S19" i="18"/>
  <c r="R19" i="18"/>
  <c r="P19" i="18"/>
  <c r="O19" i="18"/>
  <c r="M19" i="18"/>
  <c r="L19" i="18"/>
  <c r="I19" i="18"/>
  <c r="F19" i="18"/>
  <c r="C19" i="18"/>
  <c r="P56" i="19"/>
  <c r="P37" i="19"/>
  <c r="P18" i="19"/>
  <c r="P55" i="19"/>
  <c r="P36" i="19"/>
  <c r="P17" i="19"/>
  <c r="P54" i="19"/>
  <c r="P35" i="19"/>
  <c r="P16" i="19"/>
  <c r="P53" i="19"/>
  <c r="P34" i="19"/>
  <c r="P15" i="19"/>
  <c r="P52" i="19"/>
  <c r="P33" i="19"/>
  <c r="P14" i="19"/>
  <c r="P51" i="19"/>
  <c r="P32" i="19"/>
  <c r="P13" i="19"/>
  <c r="P50" i="19"/>
  <c r="P31" i="19"/>
  <c r="P12" i="19"/>
  <c r="P49" i="19"/>
  <c r="P30" i="19"/>
  <c r="P11" i="19"/>
  <c r="P48" i="19"/>
  <c r="P29" i="19"/>
  <c r="P10" i="19"/>
  <c r="P47" i="19"/>
  <c r="P28" i="19"/>
  <c r="P9" i="19"/>
  <c r="P46" i="19"/>
  <c r="P27" i="19"/>
  <c r="P8" i="19"/>
  <c r="P45" i="19"/>
  <c r="P26" i="19"/>
  <c r="P7" i="19"/>
  <c r="P44" i="19"/>
  <c r="P25" i="19"/>
  <c r="P6" i="19"/>
  <c r="P43" i="19"/>
  <c r="P24" i="19"/>
  <c r="P5" i="19"/>
  <c r="P19" i="19" s="1"/>
  <c r="Y90" i="17"/>
  <c r="X90" i="17"/>
  <c r="W90" i="17"/>
  <c r="O90" i="17"/>
  <c r="AF90" i="17"/>
  <c r="E90" i="17"/>
  <c r="K90" i="17" s="1"/>
  <c r="Y89" i="17"/>
  <c r="X89" i="17"/>
  <c r="W89" i="17"/>
  <c r="O89" i="17"/>
  <c r="AF89" i="17"/>
  <c r="E89" i="17"/>
  <c r="K89" i="17" s="1"/>
  <c r="Y88" i="17"/>
  <c r="X88" i="17"/>
  <c r="W88" i="17"/>
  <c r="O88" i="17"/>
  <c r="AF88" i="17"/>
  <c r="E88" i="17"/>
  <c r="K88" i="17" s="1"/>
  <c r="H88" i="17"/>
  <c r="Y87" i="17"/>
  <c r="X87" i="17"/>
  <c r="W87" i="17"/>
  <c r="Z87" i="17" s="1"/>
  <c r="AB87" i="17" s="1"/>
  <c r="O87" i="17"/>
  <c r="E87" i="17"/>
  <c r="K87" i="17" s="1"/>
  <c r="H87" i="17"/>
  <c r="Y86" i="17"/>
  <c r="X86" i="17"/>
  <c r="W86" i="17"/>
  <c r="O86" i="17"/>
  <c r="E86" i="17"/>
  <c r="Y85" i="17"/>
  <c r="X85" i="17"/>
  <c r="W85" i="17"/>
  <c r="O85" i="17"/>
  <c r="AF85" i="17"/>
  <c r="E85" i="17"/>
  <c r="K85" i="17" s="1"/>
  <c r="Y84" i="17"/>
  <c r="X84" i="17"/>
  <c r="W84" i="17"/>
  <c r="O84" i="17"/>
  <c r="AF84" i="17"/>
  <c r="E84" i="17"/>
  <c r="K84" i="17" s="1"/>
  <c r="Y82" i="17"/>
  <c r="X82" i="17"/>
  <c r="W82" i="17"/>
  <c r="O82" i="17"/>
  <c r="AF82" i="17"/>
  <c r="E82" i="17"/>
  <c r="K82" i="17" s="1"/>
  <c r="Y81" i="17"/>
  <c r="X81" i="17"/>
  <c r="W81" i="17"/>
  <c r="O81" i="17"/>
  <c r="AF81" i="17"/>
  <c r="E81" i="17"/>
  <c r="K81" i="17" s="1"/>
  <c r="Y80" i="17"/>
  <c r="X80" i="17"/>
  <c r="W80" i="17"/>
  <c r="O80" i="17"/>
  <c r="AF80" i="17"/>
  <c r="E80" i="17"/>
  <c r="K80" i="17" s="1"/>
  <c r="Y79" i="17"/>
  <c r="X79" i="17"/>
  <c r="W79" i="17"/>
  <c r="O79" i="17"/>
  <c r="AF79" i="17"/>
  <c r="E79" i="17"/>
  <c r="K79" i="17" s="1"/>
  <c r="H79" i="17"/>
  <c r="Y78" i="17"/>
  <c r="X78" i="17"/>
  <c r="W78" i="17"/>
  <c r="N91" i="17"/>
  <c r="M91" i="17"/>
  <c r="L91" i="17"/>
  <c r="D91" i="17"/>
  <c r="C91" i="17"/>
  <c r="U71" i="17"/>
  <c r="V71" i="17"/>
  <c r="N71" i="17"/>
  <c r="AC71" i="17" s="1"/>
  <c r="H71" i="17"/>
  <c r="E71" i="17"/>
  <c r="V70" i="17"/>
  <c r="U70" i="17"/>
  <c r="W70" i="17" s="1"/>
  <c r="N70" i="17"/>
  <c r="AC70" i="17"/>
  <c r="E70" i="17"/>
  <c r="K70" i="17" s="1"/>
  <c r="U69" i="17"/>
  <c r="V69" i="17"/>
  <c r="N69" i="17"/>
  <c r="AC69" i="17" s="1"/>
  <c r="AF69" i="17"/>
  <c r="E69" i="17"/>
  <c r="H69" i="17" s="1"/>
  <c r="K69" i="17"/>
  <c r="V68" i="17"/>
  <c r="U68" i="17"/>
  <c r="E68" i="17"/>
  <c r="K68" i="17" s="1"/>
  <c r="H68" i="17"/>
  <c r="U67" i="17"/>
  <c r="V67" i="17"/>
  <c r="N67" i="17"/>
  <c r="AC67" i="17" s="1"/>
  <c r="E67" i="17"/>
  <c r="H67" i="17" s="1"/>
  <c r="V66" i="17"/>
  <c r="U66" i="17"/>
  <c r="W66" i="17" s="1"/>
  <c r="N66" i="17"/>
  <c r="AC66" i="17"/>
  <c r="E66" i="17"/>
  <c r="K66" i="17" s="1"/>
  <c r="U65" i="17"/>
  <c r="V65" i="17"/>
  <c r="N65" i="17"/>
  <c r="AC65" i="17" s="1"/>
  <c r="AF65" i="17"/>
  <c r="E65" i="17"/>
  <c r="H65" i="17" s="1"/>
  <c r="K65" i="17"/>
  <c r="AC64" i="17"/>
  <c r="AD64" i="17" s="1"/>
  <c r="AF64" i="17" s="1"/>
  <c r="Z64" i="17"/>
  <c r="N64" i="17"/>
  <c r="V63" i="17"/>
  <c r="U63" i="17"/>
  <c r="N63" i="17"/>
  <c r="E63" i="17"/>
  <c r="K63" i="17" s="1"/>
  <c r="U62" i="17"/>
  <c r="V62" i="17"/>
  <c r="N62" i="17"/>
  <c r="AC62" i="17" s="1"/>
  <c r="E62" i="17"/>
  <c r="H62" i="17" s="1"/>
  <c r="V61" i="17"/>
  <c r="U61" i="17"/>
  <c r="N61" i="17"/>
  <c r="E61" i="17"/>
  <c r="K61" i="17" s="1"/>
  <c r="U60" i="17"/>
  <c r="V60" i="17"/>
  <c r="E60" i="17"/>
  <c r="H60" i="17" s="1"/>
  <c r="K60" i="17"/>
  <c r="V59" i="17"/>
  <c r="U59" i="17"/>
  <c r="M72" i="17"/>
  <c r="L72" i="17"/>
  <c r="N72" i="17" s="1"/>
  <c r="D72" i="17"/>
  <c r="E59" i="17"/>
  <c r="K59" i="17" s="1"/>
  <c r="U53" i="17"/>
  <c r="V53" i="17"/>
  <c r="H53" i="17"/>
  <c r="E53" i="17"/>
  <c r="V52" i="17"/>
  <c r="U52" i="17"/>
  <c r="K52" i="17"/>
  <c r="E52" i="17"/>
  <c r="H52" i="17"/>
  <c r="U51" i="17"/>
  <c r="V51" i="17"/>
  <c r="N51" i="17"/>
  <c r="H51" i="17"/>
  <c r="E51" i="17"/>
  <c r="K51" i="17"/>
  <c r="V50" i="17"/>
  <c r="U50" i="17"/>
  <c r="N50" i="17"/>
  <c r="Q50" i="17" s="1"/>
  <c r="K50" i="17"/>
  <c r="E50" i="17"/>
  <c r="V49" i="17"/>
  <c r="U49" i="17"/>
  <c r="E49" i="17"/>
  <c r="K49" i="17" s="1"/>
  <c r="H49" i="17"/>
  <c r="U48" i="17"/>
  <c r="W48" i="17" s="1"/>
  <c r="V48" i="17"/>
  <c r="N48" i="17"/>
  <c r="AC48" i="17" s="1"/>
  <c r="Q48" i="17"/>
  <c r="E48" i="17"/>
  <c r="V47" i="17"/>
  <c r="U47" i="17"/>
  <c r="N47" i="17"/>
  <c r="E47" i="17"/>
  <c r="AC46" i="17"/>
  <c r="AD46" i="17" s="1"/>
  <c r="AF46" i="17" s="1"/>
  <c r="Z46" i="17"/>
  <c r="N46" i="17"/>
  <c r="U45" i="17"/>
  <c r="V45" i="17"/>
  <c r="V44" i="17"/>
  <c r="U44" i="17"/>
  <c r="E44" i="17"/>
  <c r="K44" i="17" s="1"/>
  <c r="H44" i="17"/>
  <c r="U43" i="17"/>
  <c r="V43" i="17"/>
  <c r="N43" i="17"/>
  <c r="AC43" i="17" s="1"/>
  <c r="Q43" i="17"/>
  <c r="E43" i="17"/>
  <c r="V42" i="17"/>
  <c r="U42" i="17"/>
  <c r="E42" i="17"/>
  <c r="U41" i="17"/>
  <c r="V41" i="17"/>
  <c r="M54" i="17"/>
  <c r="L54" i="17"/>
  <c r="D54" i="17"/>
  <c r="AH35" i="17"/>
  <c r="U35" i="17"/>
  <c r="V35" i="17"/>
  <c r="AH34" i="17"/>
  <c r="V34" i="17"/>
  <c r="N34" i="17"/>
  <c r="AC34" i="17" s="1"/>
  <c r="Q34" i="17"/>
  <c r="E34" i="17"/>
  <c r="H34" i="17" s="1"/>
  <c r="K34" i="17"/>
  <c r="AH33" i="17"/>
  <c r="U33" i="17"/>
  <c r="V33" i="17"/>
  <c r="AH32" i="17"/>
  <c r="V32" i="17"/>
  <c r="N32" i="17"/>
  <c r="AC32" i="17" s="1"/>
  <c r="Q32" i="17"/>
  <c r="E32" i="17"/>
  <c r="H32" i="17" s="1"/>
  <c r="AH31" i="17"/>
  <c r="U31" i="17"/>
  <c r="V31" i="17"/>
  <c r="AH30" i="17"/>
  <c r="V30" i="17"/>
  <c r="N30" i="17"/>
  <c r="AC30" i="17" s="1"/>
  <c r="Q30" i="17"/>
  <c r="E30" i="17"/>
  <c r="H30" i="17" s="1"/>
  <c r="AH29" i="17"/>
  <c r="U29" i="17"/>
  <c r="V29" i="17"/>
  <c r="L36" i="17"/>
  <c r="AF28" i="17"/>
  <c r="AC28" i="17"/>
  <c r="Z28" i="17"/>
  <c r="V27" i="17"/>
  <c r="AH27" i="17"/>
  <c r="N27" i="17"/>
  <c r="AC27" i="17"/>
  <c r="E27" i="17"/>
  <c r="K27" i="17" s="1"/>
  <c r="H27" i="17"/>
  <c r="V26" i="17"/>
  <c r="AH26" i="17"/>
  <c r="E26" i="17"/>
  <c r="K26" i="17" s="1"/>
  <c r="V25" i="17"/>
  <c r="AH25" i="17"/>
  <c r="N25" i="17"/>
  <c r="AC25" i="17"/>
  <c r="E25" i="17"/>
  <c r="K25" i="17" s="1"/>
  <c r="H25" i="17"/>
  <c r="V24" i="17"/>
  <c r="AH24" i="17"/>
  <c r="E24" i="17"/>
  <c r="K24" i="17" s="1"/>
  <c r="V23" i="17"/>
  <c r="AH23" i="17"/>
  <c r="M36" i="17"/>
  <c r="E23" i="17"/>
  <c r="K23" i="17" s="1"/>
  <c r="D36" i="17"/>
  <c r="H23" i="17"/>
  <c r="E17" i="17"/>
  <c r="K17" i="17" s="1"/>
  <c r="E16" i="17"/>
  <c r="K16" i="17" s="1"/>
  <c r="E15" i="17"/>
  <c r="K15" i="17" s="1"/>
  <c r="N14" i="17"/>
  <c r="E14" i="17"/>
  <c r="K14" i="17" s="1"/>
  <c r="N13" i="17"/>
  <c r="Z13" i="17"/>
  <c r="E13" i="17"/>
  <c r="K13" i="17" s="1"/>
  <c r="N12" i="17"/>
  <c r="E12" i="17"/>
  <c r="K12" i="17" s="1"/>
  <c r="N11" i="17"/>
  <c r="E11" i="17"/>
  <c r="K11" i="17" s="1"/>
  <c r="Z10" i="17"/>
  <c r="W10" i="17"/>
  <c r="N9" i="17"/>
  <c r="E9" i="17"/>
  <c r="K9" i="17" s="1"/>
  <c r="N8" i="17"/>
  <c r="E8" i="17"/>
  <c r="K8" i="17" s="1"/>
  <c r="N7" i="17"/>
  <c r="E7" i="17"/>
  <c r="K7" i="17" s="1"/>
  <c r="N6" i="17"/>
  <c r="E6" i="17"/>
  <c r="K6" i="17" s="1"/>
  <c r="M18" i="17"/>
  <c r="L18" i="17"/>
  <c r="D18" i="17"/>
  <c r="C18" i="17"/>
  <c r="R108" i="16"/>
  <c r="L108" i="16"/>
  <c r="I108" i="16"/>
  <c r="U108" i="16" s="1"/>
  <c r="AJ107" i="16"/>
  <c r="W107" i="16"/>
  <c r="T107" i="16"/>
  <c r="O107" i="16"/>
  <c r="AP107" i="16" s="1"/>
  <c r="AA112" i="19" s="1"/>
  <c r="N107" i="16"/>
  <c r="AJ106" i="16"/>
  <c r="W106" i="16"/>
  <c r="T106" i="16"/>
  <c r="O106" i="16"/>
  <c r="AP106" i="16" s="1"/>
  <c r="AA111" i="19" s="1"/>
  <c r="N106" i="16"/>
  <c r="AJ105" i="16"/>
  <c r="W105" i="16"/>
  <c r="T105" i="16"/>
  <c r="O105" i="16"/>
  <c r="AP105" i="16" s="1"/>
  <c r="AA110" i="19" s="1"/>
  <c r="N105" i="16"/>
  <c r="AJ104" i="16"/>
  <c r="W104" i="16"/>
  <c r="T104" i="16"/>
  <c r="O104" i="16"/>
  <c r="AP104" i="16" s="1"/>
  <c r="AA109" i="19" s="1"/>
  <c r="N104" i="16"/>
  <c r="AJ103" i="16"/>
  <c r="W103" i="16"/>
  <c r="T103" i="16"/>
  <c r="O103" i="16"/>
  <c r="AP103" i="16" s="1"/>
  <c r="AA108" i="19" s="1"/>
  <c r="N103" i="16"/>
  <c r="AJ102" i="16"/>
  <c r="W102" i="16"/>
  <c r="T102" i="16"/>
  <c r="O102" i="16"/>
  <c r="AP102" i="16" s="1"/>
  <c r="AA107" i="19" s="1"/>
  <c r="N102" i="16"/>
  <c r="AJ101" i="16"/>
  <c r="W101" i="16"/>
  <c r="T101" i="16"/>
  <c r="O101" i="16"/>
  <c r="AP101" i="16" s="1"/>
  <c r="AA106" i="19" s="1"/>
  <c r="N101" i="16"/>
  <c r="AJ100" i="16"/>
  <c r="T100" i="16"/>
  <c r="AL100" i="16" s="1"/>
  <c r="O100" i="16"/>
  <c r="AP100" i="16" s="1"/>
  <c r="AA105" i="19" s="1"/>
  <c r="N100" i="16"/>
  <c r="AJ99" i="16"/>
  <c r="W99" i="16"/>
  <c r="T99" i="16"/>
  <c r="O99" i="16"/>
  <c r="AP99" i="16" s="1"/>
  <c r="AA104" i="19" s="1"/>
  <c r="N99" i="16"/>
  <c r="AJ98" i="16"/>
  <c r="W98" i="16"/>
  <c r="T98" i="16"/>
  <c r="O98" i="16"/>
  <c r="AP98" i="16" s="1"/>
  <c r="AA103" i="19" s="1"/>
  <c r="N98" i="16"/>
  <c r="AJ97" i="16"/>
  <c r="W97" i="16"/>
  <c r="T97" i="16"/>
  <c r="O97" i="16"/>
  <c r="AP97" i="16" s="1"/>
  <c r="AA102" i="19" s="1"/>
  <c r="N97" i="16"/>
  <c r="AJ96" i="16"/>
  <c r="W96" i="16"/>
  <c r="T96" i="16"/>
  <c r="O96" i="16"/>
  <c r="AP96" i="16" s="1"/>
  <c r="AA101" i="19" s="1"/>
  <c r="N96" i="16"/>
  <c r="AJ95" i="16"/>
  <c r="W95" i="16"/>
  <c r="T95" i="16"/>
  <c r="O95" i="16"/>
  <c r="AP95" i="16" s="1"/>
  <c r="N95" i="16"/>
  <c r="R90" i="16"/>
  <c r="L90" i="16"/>
  <c r="I90" i="16"/>
  <c r="U90" i="16" s="1"/>
  <c r="AL89" i="16"/>
  <c r="AJ89" i="16"/>
  <c r="Z107" i="16"/>
  <c r="AL107" i="16" s="1"/>
  <c r="W89" i="16"/>
  <c r="V107" i="16"/>
  <c r="T89" i="16"/>
  <c r="S107" i="16"/>
  <c r="O89" i="16"/>
  <c r="AP89" i="16" s="1"/>
  <c r="AA93" i="19" s="1"/>
  <c r="N89" i="16"/>
  <c r="M107" i="16"/>
  <c r="G107" i="16"/>
  <c r="D107" i="16"/>
  <c r="A107" i="16"/>
  <c r="AK88" i="16"/>
  <c r="AN88" i="16" s="1"/>
  <c r="AJ88" i="16"/>
  <c r="Z106" i="16"/>
  <c r="W88" i="16"/>
  <c r="V106" i="16"/>
  <c r="T88" i="16"/>
  <c r="AL88" i="16" s="1"/>
  <c r="S106" i="16"/>
  <c r="AQ88" i="16"/>
  <c r="AB92" i="19" s="1"/>
  <c r="O88" i="16"/>
  <c r="AP88" i="16" s="1"/>
  <c r="AA92" i="19" s="1"/>
  <c r="N88" i="16"/>
  <c r="M106" i="16"/>
  <c r="J106" i="16" s="1"/>
  <c r="J88" i="16"/>
  <c r="G106" i="16"/>
  <c r="D106" i="16"/>
  <c r="A106" i="16"/>
  <c r="AL87" i="16"/>
  <c r="AJ87" i="16"/>
  <c r="Z105" i="16"/>
  <c r="AL105" i="16" s="1"/>
  <c r="W87" i="16"/>
  <c r="V105" i="16"/>
  <c r="T87" i="16"/>
  <c r="S105" i="16"/>
  <c r="AK105" i="16" s="1"/>
  <c r="O87" i="16"/>
  <c r="AP87" i="16" s="1"/>
  <c r="AA91" i="19" s="1"/>
  <c r="N87" i="16"/>
  <c r="M105" i="16"/>
  <c r="G105" i="16"/>
  <c r="D105" i="16"/>
  <c r="A105" i="16"/>
  <c r="AK86" i="16"/>
  <c r="AN86" i="16" s="1"/>
  <c r="AJ86" i="16"/>
  <c r="Z104" i="16"/>
  <c r="W86" i="16"/>
  <c r="V104" i="16"/>
  <c r="T86" i="16"/>
  <c r="AL86" i="16" s="1"/>
  <c r="S104" i="16"/>
  <c r="O86" i="16"/>
  <c r="AP86" i="16" s="1"/>
  <c r="AA90" i="19" s="1"/>
  <c r="N86" i="16"/>
  <c r="M104" i="16"/>
  <c r="J104" i="16" s="1"/>
  <c r="J86" i="16"/>
  <c r="G104" i="16"/>
  <c r="D104" i="16"/>
  <c r="A104" i="16"/>
  <c r="AL85" i="16"/>
  <c r="AJ85" i="16"/>
  <c r="Z103" i="16"/>
  <c r="AL103" i="16" s="1"/>
  <c r="W85" i="16"/>
  <c r="V103" i="16"/>
  <c r="T85" i="16"/>
  <c r="S103" i="16"/>
  <c r="AK103" i="16" s="1"/>
  <c r="O85" i="16"/>
  <c r="AP85" i="16" s="1"/>
  <c r="AA89" i="19" s="1"/>
  <c r="N85" i="16"/>
  <c r="M103" i="16"/>
  <c r="G103" i="16"/>
  <c r="D103" i="16"/>
  <c r="A103" i="16"/>
  <c r="AK84" i="16"/>
  <c r="AN84" i="16" s="1"/>
  <c r="AJ84" i="16"/>
  <c r="Z102" i="16"/>
  <c r="W84" i="16"/>
  <c r="V102" i="16"/>
  <c r="T84" i="16"/>
  <c r="AL84" i="16" s="1"/>
  <c r="S102" i="16"/>
  <c r="AK102" i="16" s="1"/>
  <c r="O84" i="16"/>
  <c r="AP84" i="16" s="1"/>
  <c r="AA88" i="19" s="1"/>
  <c r="N84" i="16"/>
  <c r="M102" i="16"/>
  <c r="J102" i="16" s="1"/>
  <c r="J84" i="16"/>
  <c r="G102" i="16"/>
  <c r="D102" i="16"/>
  <c r="A102" i="16"/>
  <c r="AL83" i="16"/>
  <c r="AJ83" i="16"/>
  <c r="Z101" i="16"/>
  <c r="AL101" i="16" s="1"/>
  <c r="W83" i="16"/>
  <c r="V101" i="16"/>
  <c r="T83" i="16"/>
  <c r="S101" i="16"/>
  <c r="O83" i="16"/>
  <c r="AP83" i="16" s="1"/>
  <c r="AA87" i="19" s="1"/>
  <c r="N83" i="16"/>
  <c r="AO83" i="16" s="1"/>
  <c r="H12" i="25" s="1"/>
  <c r="M101" i="16"/>
  <c r="G101" i="16"/>
  <c r="D101" i="16"/>
  <c r="A101" i="16"/>
  <c r="AJ82" i="16"/>
  <c r="T82" i="16"/>
  <c r="AL82" i="16" s="1"/>
  <c r="S100" i="16"/>
  <c r="O82" i="16"/>
  <c r="AP82" i="16" s="1"/>
  <c r="AA86" i="19" s="1"/>
  <c r="N82" i="16"/>
  <c r="M100" i="16"/>
  <c r="J100" i="16" s="1"/>
  <c r="J82" i="16"/>
  <c r="G100" i="16"/>
  <c r="D100" i="16"/>
  <c r="A100" i="16"/>
  <c r="AL81" i="16"/>
  <c r="AJ81" i="16"/>
  <c r="Z99" i="16"/>
  <c r="AL99" i="16" s="1"/>
  <c r="W81" i="16"/>
  <c r="V99" i="16"/>
  <c r="T81" i="16"/>
  <c r="S99" i="16"/>
  <c r="O81" i="16"/>
  <c r="AP81" i="16" s="1"/>
  <c r="AA85" i="19" s="1"/>
  <c r="N81" i="16"/>
  <c r="M99" i="16"/>
  <c r="G99" i="16"/>
  <c r="D99" i="16"/>
  <c r="A99" i="16"/>
  <c r="AK80" i="16"/>
  <c r="AN80" i="16" s="1"/>
  <c r="AJ80" i="16"/>
  <c r="Z98" i="16"/>
  <c r="W80" i="16"/>
  <c r="V98" i="16"/>
  <c r="T80" i="16"/>
  <c r="AL80" i="16" s="1"/>
  <c r="S98" i="16"/>
  <c r="AQ80" i="16"/>
  <c r="AB84" i="19" s="1"/>
  <c r="O80" i="16"/>
  <c r="AP80" i="16" s="1"/>
  <c r="AA84" i="19" s="1"/>
  <c r="N80" i="16"/>
  <c r="M98" i="16"/>
  <c r="J98" i="16" s="1"/>
  <c r="J80" i="16"/>
  <c r="G98" i="16"/>
  <c r="D98" i="16"/>
  <c r="A98" i="16"/>
  <c r="AL79" i="16"/>
  <c r="AJ79" i="16"/>
  <c r="Z97" i="16"/>
  <c r="AL97" i="16" s="1"/>
  <c r="W79" i="16"/>
  <c r="V97" i="16"/>
  <c r="T79" i="16"/>
  <c r="S97" i="16"/>
  <c r="AK97" i="16" s="1"/>
  <c r="O79" i="16"/>
  <c r="AP79" i="16" s="1"/>
  <c r="AA83" i="19" s="1"/>
  <c r="N79" i="16"/>
  <c r="AO79" i="16" s="1"/>
  <c r="H8" i="25" s="1"/>
  <c r="M97" i="16"/>
  <c r="G97" i="16"/>
  <c r="D97" i="16"/>
  <c r="A97" i="16"/>
  <c r="AK78" i="16"/>
  <c r="AN78" i="16" s="1"/>
  <c r="AJ78" i="16"/>
  <c r="Z96" i="16"/>
  <c r="W78" i="16"/>
  <c r="V96" i="16"/>
  <c r="T78" i="16"/>
  <c r="AL78" i="16" s="1"/>
  <c r="S96" i="16"/>
  <c r="O78" i="16"/>
  <c r="AP78" i="16" s="1"/>
  <c r="AA82" i="19" s="1"/>
  <c r="N78" i="16"/>
  <c r="M96" i="16"/>
  <c r="J96" i="16" s="1"/>
  <c r="J78" i="16"/>
  <c r="G96" i="16"/>
  <c r="D96" i="16"/>
  <c r="A96" i="16"/>
  <c r="AL77" i="16"/>
  <c r="AJ77" i="16"/>
  <c r="Z95" i="16"/>
  <c r="AL95" i="16" s="1"/>
  <c r="W77" i="16"/>
  <c r="V95" i="16"/>
  <c r="T77" i="16"/>
  <c r="S95" i="16"/>
  <c r="AK95" i="16" s="1"/>
  <c r="P90" i="16"/>
  <c r="O77" i="16"/>
  <c r="O90" i="16" s="1"/>
  <c r="N77" i="16"/>
  <c r="M95" i="16"/>
  <c r="G95" i="16"/>
  <c r="D95" i="16"/>
  <c r="A95" i="16"/>
  <c r="AX72" i="16"/>
  <c r="AQ72" i="16"/>
  <c r="O72" i="16"/>
  <c r="I72" i="16"/>
  <c r="AJ71" i="16"/>
  <c r="AM71" i="16" s="1"/>
  <c r="AP71" i="16" s="1"/>
  <c r="AA74" i="19" s="1"/>
  <c r="AI71" i="16"/>
  <c r="AF71" i="16"/>
  <c r="AE71" i="16"/>
  <c r="W71" i="16"/>
  <c r="T71" i="16"/>
  <c r="J71" i="16"/>
  <c r="O71" i="16"/>
  <c r="N71" i="16"/>
  <c r="E71" i="16"/>
  <c r="D71" i="21"/>
  <c r="AP70" i="16"/>
  <c r="AA73" i="19" s="1"/>
  <c r="AJ70" i="16"/>
  <c r="AM70" i="16" s="1"/>
  <c r="AI70" i="16"/>
  <c r="AF70" i="16"/>
  <c r="AE70" i="16"/>
  <c r="W70" i="16"/>
  <c r="T70" i="16"/>
  <c r="J70" i="16"/>
  <c r="O70" i="16"/>
  <c r="N70" i="16"/>
  <c r="E70" i="16"/>
  <c r="D70" i="21"/>
  <c r="AJ69" i="16"/>
  <c r="AM69" i="16" s="1"/>
  <c r="AP69" i="16" s="1"/>
  <c r="AA72" i="19" s="1"/>
  <c r="AI69" i="16"/>
  <c r="AN69" i="16"/>
  <c r="AF69" i="16"/>
  <c r="AE69" i="16"/>
  <c r="Z69" i="16"/>
  <c r="Y69" i="16"/>
  <c r="W69" i="16"/>
  <c r="T69" i="16"/>
  <c r="AK69" i="16"/>
  <c r="J69" i="16"/>
  <c r="O69" i="16"/>
  <c r="N69" i="16"/>
  <c r="Q69" i="16"/>
  <c r="E69" i="16"/>
  <c r="D69" i="21"/>
  <c r="AL68" i="16"/>
  <c r="AJ68" i="16"/>
  <c r="AM68" i="16" s="1"/>
  <c r="AP68" i="16" s="1"/>
  <c r="AA71" i="19" s="1"/>
  <c r="AF68" i="16"/>
  <c r="AE68" i="16"/>
  <c r="AC68" i="16"/>
  <c r="Z68" i="16"/>
  <c r="Y68" i="16"/>
  <c r="W68" i="16"/>
  <c r="T68" i="16"/>
  <c r="J68" i="16"/>
  <c r="O68" i="16"/>
  <c r="N68" i="16"/>
  <c r="E68" i="16"/>
  <c r="D68" i="21"/>
  <c r="AJ67" i="16"/>
  <c r="AM67" i="16" s="1"/>
  <c r="AP67" i="16" s="1"/>
  <c r="AA70" i="19" s="1"/>
  <c r="W67" i="16"/>
  <c r="T67" i="16"/>
  <c r="J67" i="16"/>
  <c r="O67" i="16"/>
  <c r="N67" i="16"/>
  <c r="E67" i="16"/>
  <c r="D67" i="21"/>
  <c r="AP66" i="16"/>
  <c r="AA69" i="19" s="1"/>
  <c r="AJ66" i="16"/>
  <c r="AM66" i="16" s="1"/>
  <c r="AI66" i="16"/>
  <c r="AF66" i="16"/>
  <c r="AE66" i="16"/>
  <c r="W66" i="16"/>
  <c r="T66" i="16"/>
  <c r="J66" i="16"/>
  <c r="O66" i="16"/>
  <c r="N66" i="16"/>
  <c r="E66" i="16"/>
  <c r="D66" i="21"/>
  <c r="AJ65" i="16"/>
  <c r="AM65" i="16" s="1"/>
  <c r="AP65" i="16" s="1"/>
  <c r="AA68" i="19" s="1"/>
  <c r="AI65" i="16"/>
  <c r="AF65" i="16"/>
  <c r="AE65" i="16"/>
  <c r="W65" i="16"/>
  <c r="T65" i="16"/>
  <c r="J65" i="16"/>
  <c r="O65" i="16"/>
  <c r="N65" i="16"/>
  <c r="Q65" i="16"/>
  <c r="E65" i="16"/>
  <c r="D65" i="21"/>
  <c r="AP64" i="16"/>
  <c r="AA67" i="19" s="1"/>
  <c r="AL64" i="16"/>
  <c r="AO64" i="16" s="1"/>
  <c r="AJ64" i="16"/>
  <c r="AM64" i="16" s="1"/>
  <c r="AI64" i="16"/>
  <c r="AH64" i="16"/>
  <c r="AC64" i="16"/>
  <c r="AB82" i="16"/>
  <c r="T64" i="16"/>
  <c r="J64" i="16"/>
  <c r="O64" i="16"/>
  <c r="N64" i="16"/>
  <c r="Q64" i="16"/>
  <c r="AR64" i="16" s="1"/>
  <c r="E64" i="16"/>
  <c r="D64" i="21"/>
  <c r="AJ63" i="16"/>
  <c r="AM63" i="16" s="1"/>
  <c r="AP63" i="16" s="1"/>
  <c r="AA66" i="19" s="1"/>
  <c r="AI63" i="16"/>
  <c r="AF63" i="16"/>
  <c r="AE63" i="16"/>
  <c r="W63" i="16"/>
  <c r="T63" i="16"/>
  <c r="J63" i="16"/>
  <c r="O63" i="16"/>
  <c r="N63" i="16"/>
  <c r="Q63" i="16"/>
  <c r="E63" i="16"/>
  <c r="D63" i="21"/>
  <c r="AP62" i="16"/>
  <c r="AA65" i="19" s="1"/>
  <c r="AJ62" i="16"/>
  <c r="AM62" i="16" s="1"/>
  <c r="AI62" i="16"/>
  <c r="AF62" i="16"/>
  <c r="AE62" i="16"/>
  <c r="W62" i="16"/>
  <c r="T62" i="16"/>
  <c r="J62" i="16"/>
  <c r="O62" i="16"/>
  <c r="N62" i="16"/>
  <c r="E62" i="16"/>
  <c r="D62" i="21"/>
  <c r="AJ61" i="16"/>
  <c r="AM61" i="16" s="1"/>
  <c r="AP61" i="16" s="1"/>
  <c r="AA64" i="19" s="1"/>
  <c r="AI61" i="16"/>
  <c r="AF61" i="16"/>
  <c r="AE61" i="16"/>
  <c r="W61" i="16"/>
  <c r="T61" i="16"/>
  <c r="J61" i="16"/>
  <c r="O61" i="16"/>
  <c r="N61" i="16"/>
  <c r="E61" i="16"/>
  <c r="D61" i="21"/>
  <c r="AP60" i="16"/>
  <c r="AA63" i="19" s="1"/>
  <c r="AJ60" i="16"/>
  <c r="AM60" i="16" s="1"/>
  <c r="AI60" i="16"/>
  <c r="AF60" i="16"/>
  <c r="AE60" i="16"/>
  <c r="Z60" i="16"/>
  <c r="Y60" i="16"/>
  <c r="W60" i="16"/>
  <c r="T60" i="16"/>
  <c r="AK60" i="16"/>
  <c r="AN60" i="16" s="1"/>
  <c r="J60" i="16"/>
  <c r="O60" i="16"/>
  <c r="N60" i="16"/>
  <c r="Q60" i="16"/>
  <c r="E60" i="16"/>
  <c r="D60" i="21"/>
  <c r="BE72" i="16"/>
  <c r="AP59" i="16"/>
  <c r="AJ59" i="16"/>
  <c r="AM59" i="16" s="1"/>
  <c r="W59" i="16"/>
  <c r="T59" i="16"/>
  <c r="O59" i="16"/>
  <c r="N59" i="16"/>
  <c r="K72" i="16"/>
  <c r="E59" i="16"/>
  <c r="D59" i="21"/>
  <c r="AU54" i="16"/>
  <c r="AT54" i="16"/>
  <c r="I54" i="16"/>
  <c r="AJ53" i="16"/>
  <c r="AM53" i="16" s="1"/>
  <c r="AP53" i="16" s="1"/>
  <c r="AA55" i="19" s="1"/>
  <c r="W53" i="16"/>
  <c r="T53" i="16"/>
  <c r="P53" i="16"/>
  <c r="O53" i="16"/>
  <c r="N53" i="16"/>
  <c r="D53" i="22" s="1"/>
  <c r="E53" i="22"/>
  <c r="K53" i="16"/>
  <c r="E53" i="16"/>
  <c r="D53" i="21"/>
  <c r="AJ52" i="16"/>
  <c r="AM52" i="16" s="1"/>
  <c r="AP52" i="16" s="1"/>
  <c r="AA54" i="19" s="1"/>
  <c r="W52" i="16"/>
  <c r="T52" i="16"/>
  <c r="P52" i="16"/>
  <c r="O52" i="16"/>
  <c r="N52" i="16"/>
  <c r="D52" i="22" s="1"/>
  <c r="E52" i="22"/>
  <c r="K52" i="16"/>
  <c r="E52" i="16"/>
  <c r="D52" i="21"/>
  <c r="AJ51" i="16"/>
  <c r="AM51" i="16" s="1"/>
  <c r="AP51" i="16" s="1"/>
  <c r="AA53" i="19" s="1"/>
  <c r="W51" i="16"/>
  <c r="T51" i="16"/>
  <c r="P51" i="16"/>
  <c r="O51" i="16"/>
  <c r="N51" i="16"/>
  <c r="D51" i="22" s="1"/>
  <c r="E51" i="22"/>
  <c r="K51" i="16"/>
  <c r="E51" i="16"/>
  <c r="D51" i="21"/>
  <c r="AJ50" i="16"/>
  <c r="AM50" i="16" s="1"/>
  <c r="AP50" i="16" s="1"/>
  <c r="AA52" i="19" s="1"/>
  <c r="W50" i="16"/>
  <c r="T50" i="16"/>
  <c r="P50" i="16"/>
  <c r="O50" i="16"/>
  <c r="N50" i="16"/>
  <c r="D50" i="22" s="1"/>
  <c r="E50" i="22"/>
  <c r="K50" i="16"/>
  <c r="E50" i="16"/>
  <c r="D50" i="21"/>
  <c r="AJ49" i="16"/>
  <c r="AM49" i="16" s="1"/>
  <c r="AP49" i="16" s="1"/>
  <c r="AA51" i="19" s="1"/>
  <c r="W49" i="16"/>
  <c r="T49" i="16"/>
  <c r="P49" i="16"/>
  <c r="O49" i="16"/>
  <c r="N49" i="16"/>
  <c r="D49" i="22" s="1"/>
  <c r="E49" i="22"/>
  <c r="K49" i="16"/>
  <c r="C49" i="22" s="1"/>
  <c r="E49" i="16"/>
  <c r="D49" i="21"/>
  <c r="AJ48" i="16"/>
  <c r="AM48" i="16" s="1"/>
  <c r="W48" i="16"/>
  <c r="T48" i="16"/>
  <c r="P48" i="16"/>
  <c r="O48" i="16"/>
  <c r="AP48" i="16" s="1"/>
  <c r="AA50" i="19" s="1"/>
  <c r="N48" i="16"/>
  <c r="D48" i="22" s="1"/>
  <c r="E48" i="22"/>
  <c r="K48" i="16"/>
  <c r="C48" i="22" s="1"/>
  <c r="F48" i="22" s="1"/>
  <c r="E48" i="16"/>
  <c r="D48" i="21"/>
  <c r="AJ47" i="16"/>
  <c r="AM47" i="16" s="1"/>
  <c r="AP47" i="16" s="1"/>
  <c r="AA49" i="19" s="1"/>
  <c r="W47" i="16"/>
  <c r="T47" i="16"/>
  <c r="P47" i="16"/>
  <c r="O47" i="16"/>
  <c r="N47" i="16"/>
  <c r="D47" i="22" s="1"/>
  <c r="E47" i="22"/>
  <c r="K47" i="16"/>
  <c r="C47" i="22" s="1"/>
  <c r="F47" i="22" s="1"/>
  <c r="E47" i="16"/>
  <c r="D47" i="21"/>
  <c r="AJ46" i="16"/>
  <c r="AM46" i="16" s="1"/>
  <c r="AP46" i="16" s="1"/>
  <c r="AA48" i="19" s="1"/>
  <c r="AF46" i="16"/>
  <c r="Z46" i="16"/>
  <c r="T46" i="16"/>
  <c r="P46" i="16"/>
  <c r="O46" i="16"/>
  <c r="N46" i="16"/>
  <c r="D46" i="22" s="1"/>
  <c r="E46" i="22"/>
  <c r="K46" i="16"/>
  <c r="C46" i="22" s="1"/>
  <c r="F46" i="22" s="1"/>
  <c r="E46" i="16"/>
  <c r="D46" i="21"/>
  <c r="C46" i="21" s="1"/>
  <c r="AJ45" i="16"/>
  <c r="AM45" i="16" s="1"/>
  <c r="AP45" i="16" s="1"/>
  <c r="AA47" i="19" s="1"/>
  <c r="W45" i="16"/>
  <c r="T45" i="16"/>
  <c r="P45" i="16"/>
  <c r="O45" i="16"/>
  <c r="N45" i="16"/>
  <c r="D45" i="22" s="1"/>
  <c r="E45" i="22"/>
  <c r="K45" i="16"/>
  <c r="C45" i="22" s="1"/>
  <c r="F45" i="22" s="1"/>
  <c r="E45" i="16"/>
  <c r="D45" i="21"/>
  <c r="AJ44" i="16"/>
  <c r="AM44" i="16" s="1"/>
  <c r="AP44" i="16" s="1"/>
  <c r="AA46" i="19" s="1"/>
  <c r="W44" i="16"/>
  <c r="T44" i="16"/>
  <c r="P44" i="16"/>
  <c r="O44" i="16"/>
  <c r="N44" i="16"/>
  <c r="D44" i="22" s="1"/>
  <c r="E44" i="22"/>
  <c r="K44" i="16"/>
  <c r="C44" i="22" s="1"/>
  <c r="F44" i="22" s="1"/>
  <c r="E44" i="16"/>
  <c r="D44" i="21"/>
  <c r="AJ43" i="16"/>
  <c r="AM43" i="16" s="1"/>
  <c r="AP43" i="16" s="1"/>
  <c r="AA45" i="19" s="1"/>
  <c r="W43" i="16"/>
  <c r="T43" i="16"/>
  <c r="P43" i="16"/>
  <c r="O43" i="16"/>
  <c r="N43" i="16"/>
  <c r="D43" i="22" s="1"/>
  <c r="E43" i="22"/>
  <c r="K43" i="16"/>
  <c r="C43" i="22" s="1"/>
  <c r="F43" i="22" s="1"/>
  <c r="E43" i="16"/>
  <c r="D43" i="21"/>
  <c r="AJ42" i="16"/>
  <c r="AM42" i="16" s="1"/>
  <c r="AP42" i="16" s="1"/>
  <c r="AA44" i="19" s="1"/>
  <c r="W42" i="16"/>
  <c r="T42" i="16"/>
  <c r="P42" i="16"/>
  <c r="O42" i="16"/>
  <c r="N42" i="16"/>
  <c r="D42" i="22" s="1"/>
  <c r="E42" i="22"/>
  <c r="K42" i="16"/>
  <c r="C42" i="22" s="1"/>
  <c r="F42" i="22" s="1"/>
  <c r="E42" i="16"/>
  <c r="D42" i="21"/>
  <c r="AJ41" i="16"/>
  <c r="AM41" i="16" s="1"/>
  <c r="AP41" i="16" s="1"/>
  <c r="W41" i="16"/>
  <c r="T41" i="16"/>
  <c r="P41" i="16"/>
  <c r="P54" i="16" s="1"/>
  <c r="O41" i="16"/>
  <c r="O54" i="16" s="1"/>
  <c r="N41" i="16"/>
  <c r="D41" i="22" s="1"/>
  <c r="E41" i="22"/>
  <c r="K41" i="16"/>
  <c r="K54" i="16" s="1"/>
  <c r="W54" i="16" s="1"/>
  <c r="E41" i="16"/>
  <c r="D41" i="21"/>
  <c r="R36" i="16"/>
  <c r="L36" i="16"/>
  <c r="I36" i="16"/>
  <c r="U36" i="16" s="1"/>
  <c r="AJ35" i="16"/>
  <c r="AM35" i="16" s="1"/>
  <c r="AP35" i="16" s="1"/>
  <c r="AA36" i="19" s="1"/>
  <c r="AB35" i="16"/>
  <c r="W35" i="16"/>
  <c r="T35" i="16"/>
  <c r="P35" i="16"/>
  <c r="O35" i="16"/>
  <c r="N35" i="16"/>
  <c r="D35" i="22" s="1"/>
  <c r="E35" i="22"/>
  <c r="K35" i="16"/>
  <c r="C35" i="22" s="1"/>
  <c r="E35" i="16"/>
  <c r="AM34" i="16"/>
  <c r="AK34" i="16"/>
  <c r="AN34" i="16" s="1"/>
  <c r="AJ34" i="16"/>
  <c r="AH34" i="16"/>
  <c r="AF34" i="16"/>
  <c r="AE34" i="16"/>
  <c r="AB34" i="16"/>
  <c r="Z34" i="16"/>
  <c r="Y34" i="16"/>
  <c r="W34" i="16"/>
  <c r="T34" i="16"/>
  <c r="O34" i="16"/>
  <c r="AP34" i="16" s="1"/>
  <c r="AA35" i="19" s="1"/>
  <c r="N34" i="16"/>
  <c r="D34" i="22" s="1"/>
  <c r="E34" i="22"/>
  <c r="P34" i="16"/>
  <c r="E34" i="16"/>
  <c r="AJ33" i="16"/>
  <c r="AM33" i="16" s="1"/>
  <c r="AP33" i="16" s="1"/>
  <c r="AA34" i="19" s="1"/>
  <c r="AB33" i="16"/>
  <c r="W33" i="16"/>
  <c r="T33" i="16"/>
  <c r="P33" i="16"/>
  <c r="O33" i="16"/>
  <c r="N33" i="16"/>
  <c r="D33" i="22" s="1"/>
  <c r="E33" i="22"/>
  <c r="K33" i="16"/>
  <c r="C33" i="22" s="1"/>
  <c r="F33" i="22" s="1"/>
  <c r="E33" i="16"/>
  <c r="AM32" i="16"/>
  <c r="AK32" i="16"/>
  <c r="AJ32" i="16"/>
  <c r="AH32" i="16"/>
  <c r="AB32" i="16"/>
  <c r="Z32" i="16"/>
  <c r="Y32" i="16"/>
  <c r="W32" i="16"/>
  <c r="T32" i="16"/>
  <c r="O32" i="16"/>
  <c r="AP32" i="16" s="1"/>
  <c r="AA33" i="19" s="1"/>
  <c r="N32" i="16"/>
  <c r="D32" i="22" s="1"/>
  <c r="E32" i="22"/>
  <c r="P32" i="16"/>
  <c r="E32" i="16"/>
  <c r="AJ31" i="16"/>
  <c r="AM31" i="16" s="1"/>
  <c r="AP31" i="16" s="1"/>
  <c r="AA32" i="19" s="1"/>
  <c r="AB31" i="16"/>
  <c r="W31" i="16"/>
  <c r="T31" i="16"/>
  <c r="P31" i="16"/>
  <c r="O31" i="16"/>
  <c r="N31" i="16"/>
  <c r="D31" i="22" s="1"/>
  <c r="E31" i="22"/>
  <c r="K31" i="16"/>
  <c r="C31" i="22" s="1"/>
  <c r="E31" i="16"/>
  <c r="AM30" i="16"/>
  <c r="AK30" i="16"/>
  <c r="AJ30" i="16"/>
  <c r="AH30" i="16"/>
  <c r="AB30" i="16"/>
  <c r="Z30" i="16"/>
  <c r="Y30" i="16"/>
  <c r="W30" i="16"/>
  <c r="T30" i="16"/>
  <c r="O30" i="16"/>
  <c r="AP30" i="16" s="1"/>
  <c r="AA31" i="19" s="1"/>
  <c r="N30" i="16"/>
  <c r="D30" i="22" s="1"/>
  <c r="E30" i="22"/>
  <c r="P30" i="16"/>
  <c r="E30" i="16"/>
  <c r="AJ29" i="16"/>
  <c r="AM29" i="16" s="1"/>
  <c r="AP29" i="16" s="1"/>
  <c r="AA30" i="19" s="1"/>
  <c r="AB29" i="16"/>
  <c r="W29" i="16"/>
  <c r="T29" i="16"/>
  <c r="P29" i="16"/>
  <c r="O29" i="16"/>
  <c r="N29" i="16"/>
  <c r="D29" i="22" s="1"/>
  <c r="E29" i="22"/>
  <c r="K29" i="16"/>
  <c r="C29" i="22" s="1"/>
  <c r="F29" i="22" s="1"/>
  <c r="E29" i="16"/>
  <c r="AM28" i="16"/>
  <c r="AJ28" i="16"/>
  <c r="AI28" i="16"/>
  <c r="AH28" i="16"/>
  <c r="AF28" i="16"/>
  <c r="AE28" i="16"/>
  <c r="AC28" i="16"/>
  <c r="Z28" i="16"/>
  <c r="Y28" i="16"/>
  <c r="T28" i="16"/>
  <c r="AL28" i="16" s="1"/>
  <c r="O28" i="16"/>
  <c r="AP28" i="16" s="1"/>
  <c r="AA29" i="19" s="1"/>
  <c r="N28" i="16"/>
  <c r="D28" i="22" s="1"/>
  <c r="E28" i="22"/>
  <c r="P28" i="16"/>
  <c r="E28" i="16"/>
  <c r="AJ27" i="16"/>
  <c r="AM27" i="16" s="1"/>
  <c r="AP27" i="16" s="1"/>
  <c r="AA28" i="19" s="1"/>
  <c r="AH27" i="16"/>
  <c r="AE27" i="16"/>
  <c r="AF27" i="16" s="1"/>
  <c r="AB27" i="16"/>
  <c r="Y27" i="16"/>
  <c r="Z27" i="16" s="1"/>
  <c r="W27" i="16"/>
  <c r="T27" i="16"/>
  <c r="AK27" i="16"/>
  <c r="AN27" i="16" s="1"/>
  <c r="P27" i="16"/>
  <c r="AQ27" i="16" s="1"/>
  <c r="AB28" i="19" s="1"/>
  <c r="O27" i="16"/>
  <c r="N27" i="16"/>
  <c r="D27" i="22" s="1"/>
  <c r="E27" i="22"/>
  <c r="K27" i="16"/>
  <c r="C27" i="22" s="1"/>
  <c r="F27" i="22" s="1"/>
  <c r="E27" i="16"/>
  <c r="AM26" i="16"/>
  <c r="AJ26" i="16"/>
  <c r="AF26" i="16"/>
  <c r="AE26" i="16"/>
  <c r="AB26" i="16"/>
  <c r="W26" i="16"/>
  <c r="T26" i="16"/>
  <c r="O26" i="16"/>
  <c r="AP26" i="16" s="1"/>
  <c r="AA27" i="19" s="1"/>
  <c r="N26" i="16"/>
  <c r="D26" i="22" s="1"/>
  <c r="E26" i="22"/>
  <c r="P26" i="16"/>
  <c r="E26" i="16"/>
  <c r="AJ25" i="16"/>
  <c r="AM25" i="16" s="1"/>
  <c r="AP25" i="16" s="1"/>
  <c r="AA26" i="19" s="1"/>
  <c r="AH25" i="16"/>
  <c r="AE25" i="16"/>
  <c r="AF25" i="16" s="1"/>
  <c r="AB25" i="16"/>
  <c r="Y25" i="16"/>
  <c r="Z25" i="16" s="1"/>
  <c r="W25" i="16"/>
  <c r="T25" i="16"/>
  <c r="AK25" i="16"/>
  <c r="AN25" i="16" s="1"/>
  <c r="P25" i="16"/>
  <c r="AQ25" i="16" s="1"/>
  <c r="AB26" i="19" s="1"/>
  <c r="O25" i="16"/>
  <c r="N25" i="16"/>
  <c r="D25" i="22" s="1"/>
  <c r="E25" i="22"/>
  <c r="K25" i="16"/>
  <c r="C25" i="22" s="1"/>
  <c r="E25" i="16"/>
  <c r="AM24" i="16"/>
  <c r="AJ24" i="16"/>
  <c r="AF24" i="16"/>
  <c r="AE24" i="16"/>
  <c r="AB24" i="16"/>
  <c r="W24" i="16"/>
  <c r="T24" i="16"/>
  <c r="O24" i="16"/>
  <c r="AP24" i="16" s="1"/>
  <c r="AA25" i="19" s="1"/>
  <c r="N24" i="16"/>
  <c r="D24" i="22" s="1"/>
  <c r="E24" i="22"/>
  <c r="P24" i="16"/>
  <c r="E24" i="16"/>
  <c r="AX36" i="16"/>
  <c r="AJ23" i="16"/>
  <c r="AM23" i="16" s="1"/>
  <c r="AP23" i="16" s="1"/>
  <c r="AE23" i="16"/>
  <c r="AF23" i="16" s="1"/>
  <c r="AB23" i="16"/>
  <c r="Y23" i="16"/>
  <c r="Z23" i="16" s="1"/>
  <c r="W23" i="16"/>
  <c r="T23" i="16"/>
  <c r="AK23" i="16"/>
  <c r="P23" i="16"/>
  <c r="P36" i="16" s="1"/>
  <c r="O23" i="16"/>
  <c r="O36" i="16" s="1"/>
  <c r="N23" i="16"/>
  <c r="D23" i="22" s="1"/>
  <c r="E23" i="22"/>
  <c r="K23" i="16"/>
  <c r="C23" i="22" s="1"/>
  <c r="E23" i="16"/>
  <c r="R18" i="16"/>
  <c r="L18" i="16"/>
  <c r="I18" i="16"/>
  <c r="U18" i="16" s="1"/>
  <c r="AJ17" i="16"/>
  <c r="AM17" i="16" s="1"/>
  <c r="AP17" i="16" s="1"/>
  <c r="AA17" i="19" s="1"/>
  <c r="AE17" i="16"/>
  <c r="AF17" i="16" s="1"/>
  <c r="AB17" i="16"/>
  <c r="W17" i="16"/>
  <c r="T17" i="16"/>
  <c r="P17" i="16"/>
  <c r="O17" i="16"/>
  <c r="N17" i="16"/>
  <c r="D17" i="22" s="1"/>
  <c r="E17" i="22"/>
  <c r="K17" i="16"/>
  <c r="C17" i="22" s="1"/>
  <c r="F17" i="22" s="1"/>
  <c r="E17" i="16"/>
  <c r="D17" i="21"/>
  <c r="AM16" i="16"/>
  <c r="AJ16" i="16"/>
  <c r="AF16" i="16"/>
  <c r="AE16" i="16"/>
  <c r="AB16" i="16"/>
  <c r="W16" i="16"/>
  <c r="T16" i="16"/>
  <c r="O16" i="16"/>
  <c r="AP16" i="16" s="1"/>
  <c r="AA16" i="19" s="1"/>
  <c r="N16" i="16"/>
  <c r="D16" i="22" s="1"/>
  <c r="E16" i="22"/>
  <c r="P16" i="16"/>
  <c r="E16" i="16"/>
  <c r="D16" i="21"/>
  <c r="AJ15" i="16"/>
  <c r="AM15" i="16" s="1"/>
  <c r="AP15" i="16" s="1"/>
  <c r="AA15" i="19" s="1"/>
  <c r="AE15" i="16"/>
  <c r="AF15" i="16" s="1"/>
  <c r="AB15" i="16"/>
  <c r="W15" i="16"/>
  <c r="T15" i="16"/>
  <c r="P15" i="16"/>
  <c r="O15" i="16"/>
  <c r="N15" i="16"/>
  <c r="D15" i="22" s="1"/>
  <c r="E15" i="22"/>
  <c r="K15" i="16"/>
  <c r="C15" i="22" s="1"/>
  <c r="E15" i="16"/>
  <c r="D15" i="21"/>
  <c r="AM14" i="16"/>
  <c r="AJ14" i="16"/>
  <c r="AF14" i="16"/>
  <c r="AE14" i="16"/>
  <c r="AB14" i="16"/>
  <c r="W14" i="16"/>
  <c r="T14" i="16"/>
  <c r="O14" i="16"/>
  <c r="AP14" i="16" s="1"/>
  <c r="AA14" i="19" s="1"/>
  <c r="N14" i="16"/>
  <c r="D14" i="22" s="1"/>
  <c r="E14" i="22"/>
  <c r="P14" i="16"/>
  <c r="E14" i="16"/>
  <c r="D14" i="21"/>
  <c r="AJ13" i="16"/>
  <c r="AM13" i="16" s="1"/>
  <c r="AP13" i="16" s="1"/>
  <c r="AA13" i="19" s="1"/>
  <c r="AI13" i="16"/>
  <c r="AE13" i="16"/>
  <c r="AF13" i="16" s="1"/>
  <c r="AB13" i="16"/>
  <c r="W13" i="16"/>
  <c r="T13" i="16"/>
  <c r="P13" i="16"/>
  <c r="O13" i="16"/>
  <c r="N13" i="16"/>
  <c r="D13" i="22" s="1"/>
  <c r="E13" i="22"/>
  <c r="K13" i="16"/>
  <c r="C13" i="22" s="1"/>
  <c r="F13" i="22" s="1"/>
  <c r="E13" i="16"/>
  <c r="D13" i="21"/>
  <c r="AM12" i="16"/>
  <c r="AJ12" i="16"/>
  <c r="AF12" i="16"/>
  <c r="AE12" i="16"/>
  <c r="AB12" i="16"/>
  <c r="W12" i="16"/>
  <c r="T12" i="16"/>
  <c r="O12" i="16"/>
  <c r="AP12" i="16" s="1"/>
  <c r="AA12" i="19" s="1"/>
  <c r="N12" i="16"/>
  <c r="D12" i="22" s="1"/>
  <c r="E12" i="22"/>
  <c r="P12" i="16"/>
  <c r="E12" i="16"/>
  <c r="D12" i="21"/>
  <c r="AJ11" i="16"/>
  <c r="AM11" i="16" s="1"/>
  <c r="AP11" i="16" s="1"/>
  <c r="AA11" i="19" s="1"/>
  <c r="AE11" i="16"/>
  <c r="AF11" i="16" s="1"/>
  <c r="AB11" i="16"/>
  <c r="W11" i="16"/>
  <c r="T11" i="16"/>
  <c r="P11" i="16"/>
  <c r="O11" i="16"/>
  <c r="N11" i="16"/>
  <c r="D11" i="22" s="1"/>
  <c r="E11" i="22"/>
  <c r="K11" i="16"/>
  <c r="C11" i="22" s="1"/>
  <c r="E11" i="16"/>
  <c r="D11" i="21"/>
  <c r="AM10" i="16"/>
  <c r="AK10" i="16"/>
  <c r="AN10" i="16" s="1"/>
  <c r="AJ10" i="16"/>
  <c r="AI10" i="16"/>
  <c r="AH10" i="16"/>
  <c r="AF10" i="16"/>
  <c r="AE10" i="16"/>
  <c r="AB10" i="16"/>
  <c r="Z10" i="16"/>
  <c r="Y10" i="16"/>
  <c r="T10" i="16"/>
  <c r="O10" i="16"/>
  <c r="AP10" i="16" s="1"/>
  <c r="AA10" i="19" s="1"/>
  <c r="N10" i="16"/>
  <c r="D10" i="22" s="1"/>
  <c r="E10" i="22"/>
  <c r="P10" i="16"/>
  <c r="AQ10" i="16" s="1"/>
  <c r="AB10" i="19" s="1"/>
  <c r="E10" i="16"/>
  <c r="D10" i="21"/>
  <c r="AJ9" i="16"/>
  <c r="AM9" i="16" s="1"/>
  <c r="AP9" i="16" s="1"/>
  <c r="AA9" i="19" s="1"/>
  <c r="AE9" i="16"/>
  <c r="AF9" i="16" s="1"/>
  <c r="AB9" i="16"/>
  <c r="W9" i="16"/>
  <c r="T9" i="16"/>
  <c r="P9" i="16"/>
  <c r="O9" i="16"/>
  <c r="N9" i="16"/>
  <c r="D9" i="22" s="1"/>
  <c r="E9" i="22"/>
  <c r="K9" i="16"/>
  <c r="C9" i="22" s="1"/>
  <c r="F9" i="22" s="1"/>
  <c r="E9" i="16"/>
  <c r="D9" i="21"/>
  <c r="AM8" i="16"/>
  <c r="AJ8" i="16"/>
  <c r="AF8" i="16"/>
  <c r="AE8" i="16"/>
  <c r="AB8" i="16"/>
  <c r="W8" i="16"/>
  <c r="T8" i="16"/>
  <c r="O8" i="16"/>
  <c r="AP8" i="16" s="1"/>
  <c r="AA8" i="19" s="1"/>
  <c r="N8" i="16"/>
  <c r="D8" i="22" s="1"/>
  <c r="E8" i="22"/>
  <c r="P8" i="16"/>
  <c r="E8" i="16"/>
  <c r="D8" i="21"/>
  <c r="AJ7" i="16"/>
  <c r="AM7" i="16" s="1"/>
  <c r="AP7" i="16" s="1"/>
  <c r="AA7" i="19" s="1"/>
  <c r="AE7" i="16"/>
  <c r="AF7" i="16" s="1"/>
  <c r="AB7" i="16"/>
  <c r="W7" i="16"/>
  <c r="T7" i="16"/>
  <c r="P7" i="16"/>
  <c r="O7" i="16"/>
  <c r="N7" i="16"/>
  <c r="D7" i="22" s="1"/>
  <c r="E7" i="22"/>
  <c r="K7" i="16"/>
  <c r="C7" i="22" s="1"/>
  <c r="E7" i="16"/>
  <c r="D7" i="21"/>
  <c r="AM6" i="16"/>
  <c r="AJ6" i="16"/>
  <c r="AF6" i="16"/>
  <c r="AE6" i="16"/>
  <c r="AB6" i="16"/>
  <c r="W6" i="16"/>
  <c r="T6" i="16"/>
  <c r="O6" i="16"/>
  <c r="AP6" i="16" s="1"/>
  <c r="AA6" i="19" s="1"/>
  <c r="N6" i="16"/>
  <c r="D6" i="22" s="1"/>
  <c r="E6" i="22"/>
  <c r="P6" i="16"/>
  <c r="E6" i="16"/>
  <c r="D6" i="21"/>
  <c r="AX18" i="16"/>
  <c r="AJ5" i="16"/>
  <c r="AM5" i="16" s="1"/>
  <c r="AP5" i="16" s="1"/>
  <c r="AB5" i="16"/>
  <c r="W5" i="16"/>
  <c r="T5" i="16"/>
  <c r="P5" i="16"/>
  <c r="P18" i="16" s="1"/>
  <c r="O5" i="16"/>
  <c r="O18" i="16" s="1"/>
  <c r="N5" i="16"/>
  <c r="D5" i="22" s="1"/>
  <c r="E5" i="22"/>
  <c r="K5" i="16"/>
  <c r="C5" i="22" s="1"/>
  <c r="E5" i="16"/>
  <c r="D5" i="21"/>
  <c r="C39" i="15"/>
  <c r="L39" i="15" s="1"/>
  <c r="M90" i="14" s="1"/>
  <c r="J38" i="15"/>
  <c r="C38" i="15"/>
  <c r="M38" i="15" s="1"/>
  <c r="M108" i="14" s="1"/>
  <c r="C37" i="15"/>
  <c r="L37" i="15" s="1"/>
  <c r="M88" i="14" s="1"/>
  <c r="J36" i="15"/>
  <c r="C36" i="15"/>
  <c r="M36" i="15" s="1"/>
  <c r="M106" i="14" s="1"/>
  <c r="K25" i="15"/>
  <c r="L25" i="15" s="1"/>
  <c r="J26" i="15"/>
  <c r="J27" i="15" s="1"/>
  <c r="J28" i="15" s="1"/>
  <c r="J29" i="15" s="1"/>
  <c r="J30" i="15" s="1"/>
  <c r="J31" i="15" s="1"/>
  <c r="I26" i="15"/>
  <c r="I27" i="15" s="1"/>
  <c r="I28" i="15" s="1"/>
  <c r="I29" i="15" s="1"/>
  <c r="I30" i="15" s="1"/>
  <c r="I31" i="15" s="1"/>
  <c r="C42" i="15"/>
  <c r="C41" i="15"/>
  <c r="C40" i="15"/>
  <c r="C18" i="15"/>
  <c r="E17" i="15"/>
  <c r="E16" i="15"/>
  <c r="E15" i="15"/>
  <c r="E14" i="15"/>
  <c r="C7" i="15"/>
  <c r="D5" i="15"/>
  <c r="C4" i="15"/>
  <c r="E4" i="15" s="1"/>
  <c r="C25" i="15" s="1"/>
  <c r="F114" i="14"/>
  <c r="E114" i="14"/>
  <c r="D114" i="14"/>
  <c r="C114" i="14"/>
  <c r="G114" i="14" s="1"/>
  <c r="G113" i="14"/>
  <c r="L113" i="19" s="1"/>
  <c r="G112" i="14"/>
  <c r="L112" i="19" s="1"/>
  <c r="G111" i="14"/>
  <c r="L111" i="19" s="1"/>
  <c r="G110" i="14"/>
  <c r="L110" i="19" s="1"/>
  <c r="G109" i="14"/>
  <c r="L109" i="19" s="1"/>
  <c r="G108" i="14"/>
  <c r="L108" i="19" s="1"/>
  <c r="G107" i="14"/>
  <c r="L107" i="19" s="1"/>
  <c r="G106" i="14"/>
  <c r="L106" i="19" s="1"/>
  <c r="G105" i="14"/>
  <c r="L105" i="19" s="1"/>
  <c r="G104" i="14"/>
  <c r="L104" i="19" s="1"/>
  <c r="G103" i="14"/>
  <c r="L103" i="19" s="1"/>
  <c r="G102" i="14"/>
  <c r="L102" i="19" s="1"/>
  <c r="G101" i="14"/>
  <c r="L101" i="19" s="1"/>
  <c r="J114" i="14"/>
  <c r="I114" i="14"/>
  <c r="G100" i="14"/>
  <c r="L100" i="19" s="1"/>
  <c r="L114" i="19" s="1"/>
  <c r="F95" i="14"/>
  <c r="E95" i="14"/>
  <c r="D95" i="14"/>
  <c r="C95" i="14"/>
  <c r="G95" i="14" s="1"/>
  <c r="K94" i="14"/>
  <c r="K113" i="14" s="1"/>
  <c r="L94" i="14"/>
  <c r="M94" i="19" s="1"/>
  <c r="G94" i="14"/>
  <c r="L94" i="19" s="1"/>
  <c r="G93" i="14"/>
  <c r="L93" i="19" s="1"/>
  <c r="K92" i="14"/>
  <c r="K111" i="14" s="1"/>
  <c r="L92" i="14"/>
  <c r="M92" i="19" s="1"/>
  <c r="G92" i="14"/>
  <c r="L92" i="19" s="1"/>
  <c r="G91" i="14"/>
  <c r="L91" i="19" s="1"/>
  <c r="K90" i="14"/>
  <c r="K109" i="14" s="1"/>
  <c r="L90" i="14"/>
  <c r="M90" i="19" s="1"/>
  <c r="G90" i="14"/>
  <c r="L90" i="19" s="1"/>
  <c r="L89" i="14"/>
  <c r="M89" i="19" s="1"/>
  <c r="G89" i="14"/>
  <c r="L89" i="19" s="1"/>
  <c r="K88" i="14"/>
  <c r="K107" i="14" s="1"/>
  <c r="L88" i="14"/>
  <c r="M88" i="19" s="1"/>
  <c r="G88" i="14"/>
  <c r="L88" i="19" s="1"/>
  <c r="G87" i="14"/>
  <c r="L87" i="19" s="1"/>
  <c r="K86" i="14"/>
  <c r="K105" i="14" s="1"/>
  <c r="L86" i="14"/>
  <c r="M86" i="19" s="1"/>
  <c r="G86" i="14"/>
  <c r="L86" i="19" s="1"/>
  <c r="L85" i="14"/>
  <c r="M85" i="19" s="1"/>
  <c r="G85" i="14"/>
  <c r="L85" i="19" s="1"/>
  <c r="K84" i="14"/>
  <c r="K103" i="14" s="1"/>
  <c r="L84" i="14"/>
  <c r="M84" i="19" s="1"/>
  <c r="G84" i="14"/>
  <c r="L84" i="19" s="1"/>
  <c r="G83" i="14"/>
  <c r="L83" i="19" s="1"/>
  <c r="K82" i="14"/>
  <c r="K101" i="14" s="1"/>
  <c r="L82" i="14"/>
  <c r="M82" i="19" s="1"/>
  <c r="G82" i="14"/>
  <c r="L82" i="19" s="1"/>
  <c r="J95" i="14"/>
  <c r="I95" i="14"/>
  <c r="H95" i="14"/>
  <c r="G81" i="14"/>
  <c r="L81" i="19" s="1"/>
  <c r="K76" i="14"/>
  <c r="I76" i="14"/>
  <c r="F76" i="14"/>
  <c r="E76" i="14"/>
  <c r="D76" i="14"/>
  <c r="C76" i="14"/>
  <c r="G76" i="14" s="1"/>
  <c r="L75" i="14"/>
  <c r="M75" i="19" s="1"/>
  <c r="G75" i="14"/>
  <c r="L75" i="19" s="1"/>
  <c r="K93" i="14"/>
  <c r="K112" i="14" s="1"/>
  <c r="L74" i="14"/>
  <c r="M74" i="19" s="1"/>
  <c r="G74" i="14"/>
  <c r="L74" i="19" s="1"/>
  <c r="L73" i="14"/>
  <c r="M73" i="19" s="1"/>
  <c r="G73" i="14"/>
  <c r="L73" i="19" s="1"/>
  <c r="K91" i="14"/>
  <c r="K110" i="14" s="1"/>
  <c r="L72" i="14"/>
  <c r="M72" i="19" s="1"/>
  <c r="G72" i="14"/>
  <c r="L72" i="19" s="1"/>
  <c r="P71" i="14"/>
  <c r="L71" i="14"/>
  <c r="M71" i="19" s="1"/>
  <c r="G71" i="14"/>
  <c r="L71" i="19" s="1"/>
  <c r="K89" i="14"/>
  <c r="K108" i="14" s="1"/>
  <c r="L70" i="14"/>
  <c r="M70" i="19" s="1"/>
  <c r="G70" i="14"/>
  <c r="L70" i="19" s="1"/>
  <c r="P69" i="14"/>
  <c r="L69" i="14"/>
  <c r="M69" i="19" s="1"/>
  <c r="G69" i="14"/>
  <c r="L69" i="19" s="1"/>
  <c r="K87" i="14"/>
  <c r="K106" i="14" s="1"/>
  <c r="L68" i="14"/>
  <c r="M68" i="19" s="1"/>
  <c r="G68" i="14"/>
  <c r="L68" i="19" s="1"/>
  <c r="P67" i="14"/>
  <c r="L67" i="14"/>
  <c r="M67" i="19" s="1"/>
  <c r="G67" i="14"/>
  <c r="L67" i="19" s="1"/>
  <c r="K85" i="14"/>
  <c r="K104" i="14" s="1"/>
  <c r="L66" i="14"/>
  <c r="M66" i="19" s="1"/>
  <c r="G66" i="14"/>
  <c r="L66" i="19" s="1"/>
  <c r="P65" i="14"/>
  <c r="L65" i="14"/>
  <c r="M65" i="19" s="1"/>
  <c r="G65" i="14"/>
  <c r="L65" i="19" s="1"/>
  <c r="K83" i="14"/>
  <c r="K102" i="14" s="1"/>
  <c r="L64" i="14"/>
  <c r="M64" i="19" s="1"/>
  <c r="G64" i="14"/>
  <c r="L64" i="19" s="1"/>
  <c r="P63" i="14"/>
  <c r="L63" i="14"/>
  <c r="M63" i="19" s="1"/>
  <c r="G63" i="14"/>
  <c r="L63" i="19" s="1"/>
  <c r="K81" i="14"/>
  <c r="L62" i="14"/>
  <c r="M62" i="19" s="1"/>
  <c r="M76" i="19" s="1"/>
  <c r="H76" i="14"/>
  <c r="G62" i="14"/>
  <c r="L62" i="19" s="1"/>
  <c r="V57" i="14"/>
  <c r="P57" i="14"/>
  <c r="N57" i="14"/>
  <c r="L57" i="14"/>
  <c r="J57" i="14"/>
  <c r="F57" i="14"/>
  <c r="E57" i="14"/>
  <c r="D57" i="14"/>
  <c r="C57" i="14"/>
  <c r="G57" i="14" s="1"/>
  <c r="V56" i="14"/>
  <c r="U56" i="14"/>
  <c r="N75" i="14" s="1"/>
  <c r="N94" i="14" s="1"/>
  <c r="P56" i="14"/>
  <c r="O56" i="14"/>
  <c r="R56" i="14"/>
  <c r="P75" i="14" s="1"/>
  <c r="M56" i="14"/>
  <c r="G56" i="14"/>
  <c r="L56" i="19" s="1"/>
  <c r="V55" i="14"/>
  <c r="U55" i="14"/>
  <c r="N74" i="14" s="1"/>
  <c r="N93" i="14" s="1"/>
  <c r="P55" i="14"/>
  <c r="O55" i="14"/>
  <c r="X55" i="14"/>
  <c r="W55" i="14"/>
  <c r="M55" i="14"/>
  <c r="G55" i="14"/>
  <c r="L55" i="19" s="1"/>
  <c r="V54" i="14"/>
  <c r="U54" i="14"/>
  <c r="N73" i="14" s="1"/>
  <c r="N92" i="14" s="1"/>
  <c r="P54" i="14"/>
  <c r="O54" i="14"/>
  <c r="R54" i="14"/>
  <c r="P73" i="14" s="1"/>
  <c r="W54" i="14"/>
  <c r="M54" i="14"/>
  <c r="G54" i="14"/>
  <c r="L54" i="19" s="1"/>
  <c r="V53" i="14"/>
  <c r="U53" i="14"/>
  <c r="N72" i="14" s="1"/>
  <c r="N91" i="14" s="1"/>
  <c r="P53" i="14"/>
  <c r="O53" i="14"/>
  <c r="X53" i="14"/>
  <c r="W53" i="14"/>
  <c r="M53" i="14"/>
  <c r="G53" i="14"/>
  <c r="L53" i="19" s="1"/>
  <c r="V52" i="14"/>
  <c r="U52" i="14"/>
  <c r="N71" i="14" s="1"/>
  <c r="N90" i="14" s="1"/>
  <c r="R52" i="14"/>
  <c r="P52" i="14"/>
  <c r="O52" i="14"/>
  <c r="X52" i="14"/>
  <c r="W52" i="14"/>
  <c r="M52" i="14"/>
  <c r="G52" i="14"/>
  <c r="L52" i="19" s="1"/>
  <c r="V51" i="14"/>
  <c r="U51" i="14"/>
  <c r="N70" i="14" s="1"/>
  <c r="N89" i="14" s="1"/>
  <c r="T51" i="14"/>
  <c r="P51" i="14"/>
  <c r="O51" i="14"/>
  <c r="X51" i="14"/>
  <c r="W51" i="14"/>
  <c r="M51" i="14"/>
  <c r="G51" i="14"/>
  <c r="L51" i="19" s="1"/>
  <c r="V50" i="14"/>
  <c r="U50" i="14"/>
  <c r="N69" i="14" s="1"/>
  <c r="N88" i="14" s="1"/>
  <c r="R50" i="14"/>
  <c r="P50" i="14"/>
  <c r="O50" i="14"/>
  <c r="X50" i="14"/>
  <c r="W50" i="14"/>
  <c r="M50" i="14"/>
  <c r="G50" i="14"/>
  <c r="L50" i="19" s="1"/>
  <c r="V49" i="14"/>
  <c r="U49" i="14"/>
  <c r="N68" i="14" s="1"/>
  <c r="N87" i="14" s="1"/>
  <c r="T49" i="14"/>
  <c r="P49" i="14"/>
  <c r="O49" i="14"/>
  <c r="X49" i="14"/>
  <c r="W49" i="14"/>
  <c r="M49" i="14"/>
  <c r="G49" i="14"/>
  <c r="L49" i="19" s="1"/>
  <c r="V48" i="14"/>
  <c r="U48" i="14"/>
  <c r="N67" i="14" s="1"/>
  <c r="N86" i="14" s="1"/>
  <c r="R48" i="14"/>
  <c r="P48" i="14"/>
  <c r="O48" i="14"/>
  <c r="X48" i="14"/>
  <c r="W48" i="14"/>
  <c r="M48" i="14"/>
  <c r="G48" i="14"/>
  <c r="L48" i="19" s="1"/>
  <c r="W47" i="14"/>
  <c r="V47" i="14"/>
  <c r="U47" i="14"/>
  <c r="N66" i="14" s="1"/>
  <c r="N85" i="14" s="1"/>
  <c r="Q47" i="14"/>
  <c r="O66" i="14" s="1"/>
  <c r="F63" i="21" s="1"/>
  <c r="P47" i="14"/>
  <c r="O47" i="14"/>
  <c r="X47" i="14"/>
  <c r="M47" i="14"/>
  <c r="G47" i="14"/>
  <c r="L47" i="19" s="1"/>
  <c r="W46" i="14"/>
  <c r="V46" i="14"/>
  <c r="U46" i="14"/>
  <c r="N65" i="14" s="1"/>
  <c r="N84" i="14" s="1"/>
  <c r="R46" i="14"/>
  <c r="Q46" i="14"/>
  <c r="O65" i="14" s="1"/>
  <c r="F62" i="21" s="1"/>
  <c r="P46" i="14"/>
  <c r="O46" i="14"/>
  <c r="S46" i="14" s="1"/>
  <c r="M46" i="19" s="1"/>
  <c r="X46" i="14"/>
  <c r="M46" i="14"/>
  <c r="G46" i="14"/>
  <c r="L46" i="19" s="1"/>
  <c r="V45" i="14"/>
  <c r="U45" i="14"/>
  <c r="N64" i="14" s="1"/>
  <c r="N83" i="14" s="1"/>
  <c r="P45" i="14"/>
  <c r="O45" i="14"/>
  <c r="X45" i="14"/>
  <c r="W45" i="14"/>
  <c r="M45" i="14"/>
  <c r="G45" i="14"/>
  <c r="L45" i="19" s="1"/>
  <c r="V44" i="14"/>
  <c r="U44" i="14"/>
  <c r="N63" i="14" s="1"/>
  <c r="N82" i="14" s="1"/>
  <c r="R44" i="14"/>
  <c r="P44" i="14"/>
  <c r="O44" i="14"/>
  <c r="S44" i="14" s="1"/>
  <c r="M44" i="19" s="1"/>
  <c r="X44" i="14"/>
  <c r="Q44" i="14"/>
  <c r="O63" i="14" s="1"/>
  <c r="F60" i="21" s="1"/>
  <c r="M44" i="14"/>
  <c r="G44" i="14"/>
  <c r="L44" i="19" s="1"/>
  <c r="V43" i="14"/>
  <c r="U43" i="14"/>
  <c r="P43" i="14"/>
  <c r="O43" i="14"/>
  <c r="X43" i="14"/>
  <c r="W43" i="14"/>
  <c r="I57" i="14"/>
  <c r="G43" i="14"/>
  <c r="L43" i="19" s="1"/>
  <c r="L57" i="19" s="1"/>
  <c r="S9" i="23" s="1"/>
  <c r="I38" i="14"/>
  <c r="F38" i="14"/>
  <c r="E38" i="14"/>
  <c r="D38" i="14"/>
  <c r="C38" i="14"/>
  <c r="G38" i="14" s="1"/>
  <c r="Q37" i="14"/>
  <c r="R37" i="14"/>
  <c r="W37" i="14"/>
  <c r="J37" i="14"/>
  <c r="J38" i="14" s="1"/>
  <c r="U37" i="14"/>
  <c r="M37" i="14"/>
  <c r="G37" i="14"/>
  <c r="L37" i="19" s="1"/>
  <c r="W36" i="14"/>
  <c r="F35" i="21" s="1"/>
  <c r="V36" i="14"/>
  <c r="U36" i="14"/>
  <c r="Q36" i="14"/>
  <c r="P36" i="14"/>
  <c r="O36" i="14"/>
  <c r="X36" i="14"/>
  <c r="M36" i="14"/>
  <c r="G36" i="14"/>
  <c r="L36" i="19" s="1"/>
  <c r="W35" i="14"/>
  <c r="F34" i="21" s="1"/>
  <c r="V35" i="14"/>
  <c r="U35" i="14"/>
  <c r="R35" i="14"/>
  <c r="Q35" i="14"/>
  <c r="P35" i="14"/>
  <c r="O35" i="14"/>
  <c r="S35" i="14" s="1"/>
  <c r="M35" i="19" s="1"/>
  <c r="X35" i="14"/>
  <c r="M35" i="14"/>
  <c r="G35" i="14"/>
  <c r="L35" i="19" s="1"/>
  <c r="V34" i="14"/>
  <c r="U34" i="14"/>
  <c r="P34" i="14"/>
  <c r="O34" i="14"/>
  <c r="X34" i="14"/>
  <c r="W34" i="14"/>
  <c r="F33" i="21" s="1"/>
  <c r="M34" i="14"/>
  <c r="G34" i="14"/>
  <c r="L34" i="19" s="1"/>
  <c r="V33" i="14"/>
  <c r="U33" i="14"/>
  <c r="R33" i="14"/>
  <c r="P33" i="14"/>
  <c r="O33" i="14"/>
  <c r="X33" i="14"/>
  <c r="Q33" i="14"/>
  <c r="M33" i="14"/>
  <c r="G33" i="14"/>
  <c r="L33" i="19" s="1"/>
  <c r="V32" i="14"/>
  <c r="U32" i="14"/>
  <c r="P32" i="14"/>
  <c r="O32" i="14"/>
  <c r="X32" i="14"/>
  <c r="W32" i="14"/>
  <c r="F31" i="21" s="1"/>
  <c r="M32" i="14"/>
  <c r="G32" i="14"/>
  <c r="L32" i="19" s="1"/>
  <c r="W31" i="14"/>
  <c r="F30" i="21" s="1"/>
  <c r="V31" i="14"/>
  <c r="U31" i="14"/>
  <c r="R31" i="14"/>
  <c r="P31" i="14"/>
  <c r="O31" i="14"/>
  <c r="X31" i="14"/>
  <c r="Q31" i="14"/>
  <c r="M31" i="14"/>
  <c r="G31" i="14"/>
  <c r="L31" i="19" s="1"/>
  <c r="W30" i="14"/>
  <c r="F29" i="21" s="1"/>
  <c r="V30" i="14"/>
  <c r="U30" i="14"/>
  <c r="Q30" i="14"/>
  <c r="P30" i="14"/>
  <c r="O30" i="14"/>
  <c r="X30" i="14"/>
  <c r="M30" i="14"/>
  <c r="G30" i="14"/>
  <c r="L30" i="19" s="1"/>
  <c r="V29" i="14"/>
  <c r="U29" i="14"/>
  <c r="R29" i="14"/>
  <c r="Q29" i="14"/>
  <c r="P29" i="14"/>
  <c r="O29" i="14"/>
  <c r="S29" i="14" s="1"/>
  <c r="M29" i="19" s="1"/>
  <c r="X29" i="14"/>
  <c r="W29" i="14"/>
  <c r="F28" i="21" s="1"/>
  <c r="M29" i="14"/>
  <c r="G29" i="14"/>
  <c r="L29" i="19" s="1"/>
  <c r="W28" i="14"/>
  <c r="F27" i="21" s="1"/>
  <c r="V28" i="14"/>
  <c r="U28" i="14"/>
  <c r="Q28" i="14"/>
  <c r="P28" i="14"/>
  <c r="O28" i="14"/>
  <c r="X28" i="14"/>
  <c r="M28" i="14"/>
  <c r="G28" i="14"/>
  <c r="L28" i="19" s="1"/>
  <c r="W27" i="14"/>
  <c r="F26" i="21" s="1"/>
  <c r="V27" i="14"/>
  <c r="U27" i="14"/>
  <c r="R27" i="14"/>
  <c r="Q27" i="14"/>
  <c r="P27" i="14"/>
  <c r="O27" i="14"/>
  <c r="S27" i="14" s="1"/>
  <c r="M27" i="19" s="1"/>
  <c r="X27" i="14"/>
  <c r="M27" i="14"/>
  <c r="G27" i="14"/>
  <c r="L27" i="19" s="1"/>
  <c r="V26" i="14"/>
  <c r="U26" i="14"/>
  <c r="P26" i="14"/>
  <c r="O26" i="14"/>
  <c r="X26" i="14"/>
  <c r="W26" i="14"/>
  <c r="F25" i="21" s="1"/>
  <c r="M26" i="14"/>
  <c r="G26" i="14"/>
  <c r="L26" i="19" s="1"/>
  <c r="V25" i="14"/>
  <c r="U25" i="14"/>
  <c r="R25" i="14"/>
  <c r="P25" i="14"/>
  <c r="O25" i="14"/>
  <c r="X25" i="14"/>
  <c r="Q25" i="14"/>
  <c r="M25" i="14"/>
  <c r="G25" i="14"/>
  <c r="L25" i="19" s="1"/>
  <c r="V24" i="14"/>
  <c r="U24" i="14"/>
  <c r="U38" i="14" s="1"/>
  <c r="P24" i="14"/>
  <c r="O24" i="14"/>
  <c r="N38" i="14"/>
  <c r="X24" i="14"/>
  <c r="K38" i="14"/>
  <c r="G24" i="14"/>
  <c r="L24" i="19" s="1"/>
  <c r="L38" i="19" s="1"/>
  <c r="K9" i="23" s="1"/>
  <c r="J19" i="14"/>
  <c r="F19" i="14"/>
  <c r="E19" i="14"/>
  <c r="D19" i="14"/>
  <c r="C19" i="14"/>
  <c r="V18" i="14"/>
  <c r="U18" i="14"/>
  <c r="R18" i="14"/>
  <c r="P18" i="14"/>
  <c r="O18" i="14"/>
  <c r="X18" i="14"/>
  <c r="W18" i="14"/>
  <c r="D31" i="15"/>
  <c r="G18" i="14"/>
  <c r="L18" i="19" s="1"/>
  <c r="P17" i="14"/>
  <c r="V17" i="14" s="1"/>
  <c r="O17" i="14"/>
  <c r="U17" i="14" s="1"/>
  <c r="X17" i="14"/>
  <c r="Q17" i="14"/>
  <c r="M17" i="14"/>
  <c r="G17" i="14"/>
  <c r="L17" i="19" s="1"/>
  <c r="V16" i="14"/>
  <c r="U16" i="14"/>
  <c r="R16" i="14"/>
  <c r="Q16" i="14"/>
  <c r="P16" i="14"/>
  <c r="O16" i="14"/>
  <c r="S16" i="14" s="1"/>
  <c r="M16" i="19" s="1"/>
  <c r="X16" i="14"/>
  <c r="W16" i="14"/>
  <c r="F16" i="21" s="1"/>
  <c r="M16" i="14"/>
  <c r="G16" i="14"/>
  <c r="L16" i="19" s="1"/>
  <c r="P15" i="14"/>
  <c r="V15" i="14" s="1"/>
  <c r="O15" i="14"/>
  <c r="U15" i="14" s="1"/>
  <c r="X15" i="14"/>
  <c r="Q15" i="14"/>
  <c r="M15" i="14"/>
  <c r="G15" i="14"/>
  <c r="L15" i="19" s="1"/>
  <c r="V14" i="14"/>
  <c r="U14" i="14"/>
  <c r="T14" i="14"/>
  <c r="R14" i="14"/>
  <c r="Q14" i="14"/>
  <c r="P14" i="14"/>
  <c r="O14" i="14"/>
  <c r="S14" i="14" s="1"/>
  <c r="M14" i="19" s="1"/>
  <c r="X14" i="14"/>
  <c r="W14" i="14"/>
  <c r="F14" i="21" s="1"/>
  <c r="M14" i="14"/>
  <c r="G14" i="14"/>
  <c r="L14" i="19" s="1"/>
  <c r="T13" i="14"/>
  <c r="P13" i="14"/>
  <c r="V13" i="14" s="1"/>
  <c r="O13" i="14"/>
  <c r="U13" i="14" s="1"/>
  <c r="X13" i="14"/>
  <c r="Q13" i="14"/>
  <c r="M13" i="14"/>
  <c r="G13" i="14"/>
  <c r="L13" i="19" s="1"/>
  <c r="V12" i="14"/>
  <c r="U12" i="14"/>
  <c r="T12" i="14"/>
  <c r="R12" i="14"/>
  <c r="P12" i="14"/>
  <c r="O12" i="14"/>
  <c r="X12" i="14"/>
  <c r="W12" i="14"/>
  <c r="F12" i="21" s="1"/>
  <c r="M12" i="14"/>
  <c r="G12" i="14"/>
  <c r="L12" i="19" s="1"/>
  <c r="T11" i="14"/>
  <c r="P11" i="14"/>
  <c r="V11" i="14" s="1"/>
  <c r="O11" i="14"/>
  <c r="U11" i="14" s="1"/>
  <c r="X11" i="14"/>
  <c r="Q11" i="14"/>
  <c r="M11" i="14"/>
  <c r="G11" i="14"/>
  <c r="L11" i="19" s="1"/>
  <c r="V10" i="14"/>
  <c r="R10" i="14"/>
  <c r="P10" i="14"/>
  <c r="O10" i="14"/>
  <c r="X10" i="14"/>
  <c r="W10" i="14"/>
  <c r="F10" i="21" s="1"/>
  <c r="D30" i="15"/>
  <c r="G10" i="14"/>
  <c r="L10" i="19" s="1"/>
  <c r="P9" i="14"/>
  <c r="V9" i="14" s="1"/>
  <c r="O9" i="14"/>
  <c r="U9" i="14" s="1"/>
  <c r="X9" i="14"/>
  <c r="Q9" i="14"/>
  <c r="D29" i="15"/>
  <c r="G9" i="14"/>
  <c r="L9" i="19" s="1"/>
  <c r="V8" i="14"/>
  <c r="R8" i="14"/>
  <c r="P8" i="14"/>
  <c r="O8" i="14"/>
  <c r="X8" i="14"/>
  <c r="W8" i="14"/>
  <c r="F8" i="21" s="1"/>
  <c r="D28" i="15"/>
  <c r="G8" i="14"/>
  <c r="L8" i="19" s="1"/>
  <c r="P7" i="14"/>
  <c r="V7" i="14" s="1"/>
  <c r="O7" i="14"/>
  <c r="U7" i="14" s="1"/>
  <c r="X7" i="14"/>
  <c r="Q7" i="14"/>
  <c r="D27" i="15"/>
  <c r="G7" i="14"/>
  <c r="L7" i="19" s="1"/>
  <c r="V6" i="14"/>
  <c r="R6" i="14"/>
  <c r="P6" i="14"/>
  <c r="O6" i="14"/>
  <c r="X6" i="14"/>
  <c r="W6" i="14"/>
  <c r="F6" i="21" s="1"/>
  <c r="D26" i="15"/>
  <c r="G6" i="14"/>
  <c r="L6" i="19" s="1"/>
  <c r="T5" i="14"/>
  <c r="P5" i="14"/>
  <c r="P19" i="14" s="1"/>
  <c r="O5" i="14"/>
  <c r="U5" i="14" s="1"/>
  <c r="N19" i="14"/>
  <c r="L19" i="14"/>
  <c r="Q5" i="14"/>
  <c r="I19" i="14"/>
  <c r="G5" i="14"/>
  <c r="L5" i="19" s="1"/>
  <c r="L19" i="19" s="1"/>
  <c r="C9" i="23" s="1"/>
  <c r="H289" i="13"/>
  <c r="L271" i="13"/>
  <c r="T271" i="13" s="1"/>
  <c r="AB271" i="13" s="1"/>
  <c r="AJ271" i="13" s="1"/>
  <c r="AR271" i="13" s="1"/>
  <c r="H270" i="13"/>
  <c r="E269" i="13"/>
  <c r="E268" i="13"/>
  <c r="E267" i="13"/>
  <c r="E266" i="13"/>
  <c r="E265" i="13"/>
  <c r="E264" i="13"/>
  <c r="E263" i="13"/>
  <c r="E262" i="13"/>
  <c r="E261" i="13"/>
  <c r="E260" i="13"/>
  <c r="E259" i="13"/>
  <c r="E257" i="13"/>
  <c r="E256" i="13"/>
  <c r="E255" i="13"/>
  <c r="E254" i="13"/>
  <c r="E253" i="13"/>
  <c r="T252" i="13"/>
  <c r="AB252" i="13" s="1"/>
  <c r="AJ252" i="13" s="1"/>
  <c r="AR252" i="13" s="1"/>
  <c r="L252" i="13"/>
  <c r="H251" i="13"/>
  <c r="E250" i="13"/>
  <c r="E249" i="13"/>
  <c r="E248" i="13"/>
  <c r="E247" i="13"/>
  <c r="E246" i="13"/>
  <c r="E245" i="13"/>
  <c r="E244" i="13"/>
  <c r="E243" i="13"/>
  <c r="E242" i="13"/>
  <c r="E241" i="13"/>
  <c r="E240" i="13"/>
  <c r="E238" i="13"/>
  <c r="E237" i="13"/>
  <c r="E236" i="13"/>
  <c r="E235" i="13"/>
  <c r="E234" i="13"/>
  <c r="T233" i="13"/>
  <c r="AB233" i="13" s="1"/>
  <c r="AJ233" i="13" s="1"/>
  <c r="AR233" i="13" s="1"/>
  <c r="L233" i="13"/>
  <c r="H232" i="13"/>
  <c r="E231" i="13"/>
  <c r="E230" i="13"/>
  <c r="E229" i="13"/>
  <c r="E228" i="13"/>
  <c r="E227" i="13"/>
  <c r="E226" i="13"/>
  <c r="E225" i="13"/>
  <c r="E224" i="13"/>
  <c r="E223" i="13"/>
  <c r="E222" i="13"/>
  <c r="E221" i="13"/>
  <c r="E219" i="13"/>
  <c r="E218" i="13"/>
  <c r="E217" i="13"/>
  <c r="E216" i="13"/>
  <c r="E215" i="13"/>
  <c r="T214" i="13"/>
  <c r="AB214" i="13" s="1"/>
  <c r="AJ214" i="13" s="1"/>
  <c r="AR214" i="13" s="1"/>
  <c r="L214" i="13"/>
  <c r="H213" i="13"/>
  <c r="E212" i="13"/>
  <c r="E211" i="13"/>
  <c r="E210" i="13"/>
  <c r="E209" i="13"/>
  <c r="E208" i="13"/>
  <c r="E207" i="13"/>
  <c r="E206" i="13"/>
  <c r="E205" i="13"/>
  <c r="E204" i="13"/>
  <c r="E203" i="13"/>
  <c r="E202" i="13"/>
  <c r="E200" i="13"/>
  <c r="E199" i="13"/>
  <c r="E198" i="13"/>
  <c r="E197" i="13"/>
  <c r="E196" i="13"/>
  <c r="AJ195" i="13"/>
  <c r="AR195" i="13" s="1"/>
  <c r="T195" i="13"/>
  <c r="AB195" i="13" s="1"/>
  <c r="L195" i="13"/>
  <c r="H194" i="13"/>
  <c r="E193" i="13"/>
  <c r="E192" i="13"/>
  <c r="E191" i="13"/>
  <c r="E190" i="13"/>
  <c r="E189" i="13"/>
  <c r="E188" i="13"/>
  <c r="E187" i="13"/>
  <c r="E186" i="13"/>
  <c r="E185" i="13"/>
  <c r="E184" i="13"/>
  <c r="E183" i="13"/>
  <c r="E181" i="13"/>
  <c r="E180" i="13"/>
  <c r="E179" i="13"/>
  <c r="E178" i="13"/>
  <c r="E177" i="13"/>
  <c r="L176" i="13"/>
  <c r="T176" i="13" s="1"/>
  <c r="AB176" i="13" s="1"/>
  <c r="AJ176" i="13" s="1"/>
  <c r="AR176" i="13" s="1"/>
  <c r="H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L157" i="13"/>
  <c r="T157" i="13" s="1"/>
  <c r="AB157" i="13" s="1"/>
  <c r="AJ157" i="13" s="1"/>
  <c r="AR157" i="13" s="1"/>
  <c r="H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56" i="13" s="1"/>
  <c r="L138" i="13"/>
  <c r="T138" i="13" s="1"/>
  <c r="AB138" i="13" s="1"/>
  <c r="AJ138" i="13" s="1"/>
  <c r="AR138" i="13" s="1"/>
  <c r="H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T119" i="13"/>
  <c r="AB119" i="13" s="1"/>
  <c r="AJ119" i="13" s="1"/>
  <c r="AR119" i="13" s="1"/>
  <c r="L119" i="13"/>
  <c r="AY118" i="13"/>
  <c r="AX118" i="13"/>
  <c r="AV118" i="13"/>
  <c r="AU118" i="13"/>
  <c r="AT118" i="13"/>
  <c r="AS118" i="13"/>
  <c r="AQ118" i="13"/>
  <c r="AP118" i="13"/>
  <c r="AN118" i="13"/>
  <c r="AM118" i="13"/>
  <c r="AL118" i="13"/>
  <c r="AK118" i="13"/>
  <c r="AI118" i="13"/>
  <c r="AH118" i="13"/>
  <c r="AF118" i="13"/>
  <c r="AE118" i="13"/>
  <c r="AD118" i="13"/>
  <c r="AC118" i="13"/>
  <c r="AA118" i="13"/>
  <c r="Z118" i="13"/>
  <c r="X118" i="13"/>
  <c r="W118" i="13"/>
  <c r="V118" i="13"/>
  <c r="U118" i="13"/>
  <c r="S118" i="13"/>
  <c r="R118" i="13"/>
  <c r="P118" i="13"/>
  <c r="O118" i="13"/>
  <c r="N118" i="13"/>
  <c r="M118" i="13"/>
  <c r="H118" i="13"/>
  <c r="F117" i="13"/>
  <c r="E117" i="13"/>
  <c r="G117" i="13" s="1"/>
  <c r="F116" i="13"/>
  <c r="E116" i="13"/>
  <c r="G116" i="13" s="1"/>
  <c r="F115" i="13"/>
  <c r="E115" i="13"/>
  <c r="G115" i="13" s="1"/>
  <c r="F114" i="13"/>
  <c r="E114" i="13"/>
  <c r="G114" i="13" s="1"/>
  <c r="F113" i="13"/>
  <c r="E113" i="13"/>
  <c r="G113" i="13" s="1"/>
  <c r="F112" i="13"/>
  <c r="E112" i="13"/>
  <c r="G112" i="13" s="1"/>
  <c r="F111" i="13"/>
  <c r="E111" i="13"/>
  <c r="G111" i="13" s="1"/>
  <c r="F110" i="13"/>
  <c r="E110" i="13"/>
  <c r="G110" i="13" s="1"/>
  <c r="F109" i="13"/>
  <c r="E109" i="13"/>
  <c r="G109" i="13" s="1"/>
  <c r="F108" i="13"/>
  <c r="E108" i="13"/>
  <c r="G108" i="13" s="1"/>
  <c r="F107" i="13"/>
  <c r="E107" i="13"/>
  <c r="G107" i="13" s="1"/>
  <c r="F106" i="13"/>
  <c r="E106" i="13"/>
  <c r="G106" i="13" s="1"/>
  <c r="F105" i="13"/>
  <c r="E105" i="13"/>
  <c r="G105" i="13" s="1"/>
  <c r="F104" i="13"/>
  <c r="E104" i="13"/>
  <c r="G104" i="13" s="1"/>
  <c r="F103" i="13"/>
  <c r="E103" i="13"/>
  <c r="G103" i="13" s="1"/>
  <c r="F102" i="13"/>
  <c r="E102" i="13"/>
  <c r="G102" i="13" s="1"/>
  <c r="F101" i="13"/>
  <c r="F118" i="13" s="1"/>
  <c r="E101" i="13"/>
  <c r="E118" i="13" s="1"/>
  <c r="H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T81" i="13"/>
  <c r="AB81" i="13" s="1"/>
  <c r="AJ81" i="13" s="1"/>
  <c r="AR81" i="13" s="1"/>
  <c r="L81" i="13"/>
  <c r="H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AJ62" i="13"/>
  <c r="AR62" i="13" s="1"/>
  <c r="AB62" i="13"/>
  <c r="L62" i="13"/>
  <c r="H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61" i="13" s="1"/>
  <c r="L43" i="13"/>
  <c r="T43" i="13" s="1"/>
  <c r="AB43" i="13" s="1"/>
  <c r="AJ43" i="13" s="1"/>
  <c r="AR43" i="13" s="1"/>
  <c r="H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42" i="13" s="1"/>
  <c r="L24" i="13"/>
  <c r="T24" i="13" s="1"/>
  <c r="AB24" i="13" s="1"/>
  <c r="AJ24" i="13" s="1"/>
  <c r="AR24" i="13" s="1"/>
  <c r="H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J6" i="13"/>
  <c r="I6" i="13"/>
  <c r="E6" i="13"/>
  <c r="E23" i="13" s="1"/>
  <c r="L5" i="13"/>
  <c r="T5" i="13" s="1"/>
  <c r="AB5" i="13" s="1"/>
  <c r="AJ5" i="13" s="1"/>
  <c r="AR5" i="13" s="1"/>
  <c r="P39" i="12"/>
  <c r="AC38" i="12"/>
  <c r="P18" i="12" s="1"/>
  <c r="J94" i="19" s="1"/>
  <c r="Y38" i="12"/>
  <c r="V38" i="12"/>
  <c r="AB38" i="12" s="1"/>
  <c r="W38" i="12"/>
  <c r="M18" i="12" s="1"/>
  <c r="J75" i="19" s="1"/>
  <c r="S38" i="12"/>
  <c r="Q38" i="12"/>
  <c r="K38" i="12"/>
  <c r="G18" i="12" s="1"/>
  <c r="J37" i="19" s="1"/>
  <c r="G38" i="12"/>
  <c r="E38" i="12"/>
  <c r="D18" i="12" s="1"/>
  <c r="J18" i="19" s="1"/>
  <c r="AH37" i="12"/>
  <c r="AI37" i="12" s="1"/>
  <c r="S17" i="12" s="1"/>
  <c r="J112" i="19" s="1"/>
  <c r="AE37" i="12"/>
  <c r="AC37" i="12"/>
  <c r="P17" i="12" s="1"/>
  <c r="J93" i="19" s="1"/>
  <c r="Y37" i="12"/>
  <c r="W37" i="12"/>
  <c r="V37" i="12"/>
  <c r="S37" i="12"/>
  <c r="Q37" i="12"/>
  <c r="M37" i="12"/>
  <c r="K37" i="12"/>
  <c r="G17" i="12" s="1"/>
  <c r="J36" i="19" s="1"/>
  <c r="E37" i="12"/>
  <c r="D17" i="12" s="1"/>
  <c r="J17" i="19" s="1"/>
  <c r="AH36" i="12"/>
  <c r="AK36" i="12" s="1"/>
  <c r="AI36" i="12"/>
  <c r="S16" i="12" s="1"/>
  <c r="J111" i="19" s="1"/>
  <c r="AE36" i="12"/>
  <c r="AC36" i="12"/>
  <c r="P16" i="12" s="1"/>
  <c r="J92" i="19" s="1"/>
  <c r="Y36" i="12"/>
  <c r="V36" i="12"/>
  <c r="W36" i="12"/>
  <c r="M16" i="12" s="1"/>
  <c r="J73" i="19" s="1"/>
  <c r="S36" i="12"/>
  <c r="Q36" i="12"/>
  <c r="K36" i="12"/>
  <c r="G16" i="12" s="1"/>
  <c r="J35" i="19" s="1"/>
  <c r="G36" i="12"/>
  <c r="E36" i="12"/>
  <c r="D16" i="12" s="1"/>
  <c r="J16" i="19" s="1"/>
  <c r="AH35" i="12"/>
  <c r="AI35" i="12" s="1"/>
  <c r="S15" i="12" s="1"/>
  <c r="J110" i="19" s="1"/>
  <c r="AE35" i="12"/>
  <c r="AC35" i="12"/>
  <c r="P15" i="12" s="1"/>
  <c r="J91" i="19" s="1"/>
  <c r="Y35" i="12"/>
  <c r="W35" i="12"/>
  <c r="V35" i="12"/>
  <c r="S35" i="12"/>
  <c r="Q35" i="12"/>
  <c r="M35" i="12"/>
  <c r="K35" i="12"/>
  <c r="G15" i="12" s="1"/>
  <c r="J34" i="19" s="1"/>
  <c r="E35" i="12"/>
  <c r="D15" i="12" s="1"/>
  <c r="J15" i="19" s="1"/>
  <c r="AH34" i="12"/>
  <c r="AK34" i="12" s="1"/>
  <c r="AI34" i="12"/>
  <c r="S14" i="12" s="1"/>
  <c r="J109" i="19" s="1"/>
  <c r="AE34" i="12"/>
  <c r="AC34" i="12"/>
  <c r="P14" i="12" s="1"/>
  <c r="J90" i="19" s="1"/>
  <c r="Y34" i="12"/>
  <c r="V34" i="12"/>
  <c r="W34" i="12"/>
  <c r="M14" i="12" s="1"/>
  <c r="J71" i="19" s="1"/>
  <c r="S34" i="12"/>
  <c r="Q34" i="12"/>
  <c r="K34" i="12"/>
  <c r="G14" i="12" s="1"/>
  <c r="J33" i="19" s="1"/>
  <c r="G34" i="12"/>
  <c r="E34" i="12"/>
  <c r="D14" i="12" s="1"/>
  <c r="J14" i="19" s="1"/>
  <c r="AH33" i="12"/>
  <c r="AI33" i="12" s="1"/>
  <c r="S13" i="12" s="1"/>
  <c r="J108" i="19" s="1"/>
  <c r="AE33" i="12"/>
  <c r="AC33" i="12"/>
  <c r="P13" i="12" s="1"/>
  <c r="J89" i="19" s="1"/>
  <c r="Y33" i="12"/>
  <c r="V33" i="12"/>
  <c r="W33" i="12"/>
  <c r="M13" i="12" s="1"/>
  <c r="J70" i="19" s="1"/>
  <c r="S33" i="12"/>
  <c r="Q33" i="12"/>
  <c r="M33" i="12"/>
  <c r="K33" i="12"/>
  <c r="G13" i="12" s="1"/>
  <c r="J32" i="19" s="1"/>
  <c r="E33" i="12"/>
  <c r="D13" i="12" s="1"/>
  <c r="J13" i="19" s="1"/>
  <c r="AH32" i="12"/>
  <c r="AK32" i="12" s="1"/>
  <c r="AI32" i="12"/>
  <c r="S12" i="12" s="1"/>
  <c r="J107" i="19" s="1"/>
  <c r="AE32" i="12"/>
  <c r="AC32" i="12"/>
  <c r="P12" i="12" s="1"/>
  <c r="J88" i="19" s="1"/>
  <c r="Y32" i="12"/>
  <c r="V32" i="12"/>
  <c r="W32" i="12"/>
  <c r="M12" i="12" s="1"/>
  <c r="J69" i="19" s="1"/>
  <c r="S32" i="12"/>
  <c r="Q32" i="12"/>
  <c r="K32" i="12"/>
  <c r="G12" i="12" s="1"/>
  <c r="J31" i="19" s="1"/>
  <c r="G32" i="12"/>
  <c r="E32" i="12"/>
  <c r="D12" i="12" s="1"/>
  <c r="J12" i="19" s="1"/>
  <c r="AH31" i="12"/>
  <c r="AI31" i="12" s="1"/>
  <c r="S11" i="12" s="1"/>
  <c r="J106" i="19" s="1"/>
  <c r="AE31" i="12"/>
  <c r="AC31" i="12"/>
  <c r="P11" i="12" s="1"/>
  <c r="J87" i="19" s="1"/>
  <c r="Y31" i="12"/>
  <c r="V31" i="12"/>
  <c r="W31" i="12"/>
  <c r="M11" i="12" s="1"/>
  <c r="J68" i="19" s="1"/>
  <c r="S31" i="12"/>
  <c r="Q31" i="12"/>
  <c r="M31" i="12"/>
  <c r="K31" i="12"/>
  <c r="G11" i="12" s="1"/>
  <c r="J30" i="19" s="1"/>
  <c r="G31" i="12"/>
  <c r="E31" i="12"/>
  <c r="D11" i="12" s="1"/>
  <c r="J11" i="19" s="1"/>
  <c r="AH30" i="12"/>
  <c r="AK30" i="12" s="1"/>
  <c r="AI30" i="12"/>
  <c r="S10" i="12" s="1"/>
  <c r="J105" i="19" s="1"/>
  <c r="AE30" i="12"/>
  <c r="AC30" i="12"/>
  <c r="P10" i="12" s="1"/>
  <c r="J86" i="19" s="1"/>
  <c r="Y30" i="12"/>
  <c r="V30" i="12"/>
  <c r="W30" i="12"/>
  <c r="M10" i="12" s="1"/>
  <c r="J67" i="19" s="1"/>
  <c r="S30" i="12"/>
  <c r="Q30" i="12"/>
  <c r="K30" i="12"/>
  <c r="G10" i="12" s="1"/>
  <c r="J29" i="19" s="1"/>
  <c r="G30" i="12"/>
  <c r="E30" i="12"/>
  <c r="D10" i="12" s="1"/>
  <c r="J10" i="19" s="1"/>
  <c r="AH29" i="12"/>
  <c r="AI29" i="12" s="1"/>
  <c r="S9" i="12" s="1"/>
  <c r="J104" i="19" s="1"/>
  <c r="AE29" i="12"/>
  <c r="AC29" i="12"/>
  <c r="P9" i="12" s="1"/>
  <c r="J85" i="19" s="1"/>
  <c r="Y29" i="12"/>
  <c r="V29" i="12"/>
  <c r="W29" i="12"/>
  <c r="M9" i="12" s="1"/>
  <c r="J66" i="19" s="1"/>
  <c r="S29" i="12"/>
  <c r="Q29" i="12"/>
  <c r="M29" i="12"/>
  <c r="K29" i="12"/>
  <c r="G9" i="12" s="1"/>
  <c r="J28" i="19" s="1"/>
  <c r="E29" i="12"/>
  <c r="D9" i="12" s="1"/>
  <c r="J9" i="19" s="1"/>
  <c r="AH28" i="12"/>
  <c r="AK28" i="12" s="1"/>
  <c r="AI28" i="12"/>
  <c r="S8" i="12" s="1"/>
  <c r="J103" i="19" s="1"/>
  <c r="AE28" i="12"/>
  <c r="AC28" i="12"/>
  <c r="P8" i="12" s="1"/>
  <c r="J84" i="19" s="1"/>
  <c r="Y28" i="12"/>
  <c r="V28" i="12"/>
  <c r="W28" i="12"/>
  <c r="M8" i="12" s="1"/>
  <c r="J65" i="19" s="1"/>
  <c r="S28" i="12"/>
  <c r="Q28" i="12"/>
  <c r="K28" i="12"/>
  <c r="G8" i="12" s="1"/>
  <c r="J27" i="19" s="1"/>
  <c r="G28" i="12"/>
  <c r="E28" i="12"/>
  <c r="D8" i="12" s="1"/>
  <c r="J8" i="19" s="1"/>
  <c r="AH27" i="12"/>
  <c r="AI27" i="12" s="1"/>
  <c r="S7" i="12" s="1"/>
  <c r="J102" i="19" s="1"/>
  <c r="AE27" i="12"/>
  <c r="AC27" i="12"/>
  <c r="P7" i="12" s="1"/>
  <c r="J83" i="19" s="1"/>
  <c r="Y27" i="12"/>
  <c r="W27" i="12"/>
  <c r="V27" i="12"/>
  <c r="S27" i="12"/>
  <c r="Q27" i="12"/>
  <c r="M27" i="12"/>
  <c r="K27" i="12"/>
  <c r="G7" i="12" s="1"/>
  <c r="J26" i="19" s="1"/>
  <c r="E27" i="12"/>
  <c r="D7" i="12" s="1"/>
  <c r="J7" i="19" s="1"/>
  <c r="AH26" i="12"/>
  <c r="AK26" i="12" s="1"/>
  <c r="AI26" i="12"/>
  <c r="S6" i="12" s="1"/>
  <c r="J101" i="19" s="1"/>
  <c r="AE26" i="12"/>
  <c r="AC26" i="12"/>
  <c r="P6" i="12" s="1"/>
  <c r="J82" i="19" s="1"/>
  <c r="Y26" i="12"/>
  <c r="V26" i="12"/>
  <c r="W26" i="12"/>
  <c r="M6" i="12" s="1"/>
  <c r="J63" i="19" s="1"/>
  <c r="S26" i="12"/>
  <c r="Q26" i="12"/>
  <c r="K26" i="12"/>
  <c r="G6" i="12" s="1"/>
  <c r="J25" i="19" s="1"/>
  <c r="G26" i="12"/>
  <c r="E26" i="12"/>
  <c r="D6" i="12" s="1"/>
  <c r="J6" i="19" s="1"/>
  <c r="AH25" i="12"/>
  <c r="AI25" i="12" s="1"/>
  <c r="S5" i="12" s="1"/>
  <c r="AG39" i="12"/>
  <c r="AE25" i="12"/>
  <c r="AA39" i="12"/>
  <c r="Y25" i="12"/>
  <c r="Y39" i="12" s="1"/>
  <c r="V25" i="12"/>
  <c r="V39" i="12" s="1"/>
  <c r="U39" i="12"/>
  <c r="W39" i="12" s="1"/>
  <c r="S25" i="12"/>
  <c r="S39" i="12" s="1"/>
  <c r="Q25" i="12"/>
  <c r="O39" i="12"/>
  <c r="Q39" i="12" s="1"/>
  <c r="M25" i="12"/>
  <c r="I39" i="12"/>
  <c r="D39" i="12"/>
  <c r="C39" i="12"/>
  <c r="R19" i="12"/>
  <c r="O19" i="12"/>
  <c r="L19" i="12"/>
  <c r="I19" i="12"/>
  <c r="F19" i="12"/>
  <c r="C19" i="12"/>
  <c r="J18" i="12"/>
  <c r="J56" i="19" s="1"/>
  <c r="M17" i="12"/>
  <c r="J74" i="19" s="1"/>
  <c r="J17" i="12"/>
  <c r="J55" i="19" s="1"/>
  <c r="J16" i="12"/>
  <c r="J54" i="19" s="1"/>
  <c r="M15" i="12"/>
  <c r="J72" i="19" s="1"/>
  <c r="J15" i="12"/>
  <c r="J53" i="19" s="1"/>
  <c r="J14" i="12"/>
  <c r="J52" i="19" s="1"/>
  <c r="J13" i="12"/>
  <c r="J51" i="19" s="1"/>
  <c r="J12" i="12"/>
  <c r="J50" i="19" s="1"/>
  <c r="J11" i="12"/>
  <c r="J49" i="19" s="1"/>
  <c r="J10" i="12"/>
  <c r="J48" i="19" s="1"/>
  <c r="J9" i="12"/>
  <c r="J47" i="19" s="1"/>
  <c r="J8" i="12"/>
  <c r="J46" i="19" s="1"/>
  <c r="M7" i="12"/>
  <c r="J64" i="19" s="1"/>
  <c r="J7" i="12"/>
  <c r="J45" i="19" s="1"/>
  <c r="J6" i="12"/>
  <c r="J44" i="19" s="1"/>
  <c r="J5" i="12"/>
  <c r="J43" i="19" s="1"/>
  <c r="J57" i="19" s="1"/>
  <c r="L42" i="11"/>
  <c r="P42" i="11" s="1"/>
  <c r="K42" i="11"/>
  <c r="M42" i="11" s="1"/>
  <c r="Q42" i="11" s="1"/>
  <c r="J42" i="11"/>
  <c r="M41" i="11"/>
  <c r="Q41" i="11" s="1"/>
  <c r="K41" i="11"/>
  <c r="J41" i="11"/>
  <c r="L41" i="11" s="1"/>
  <c r="P41" i="11" s="1"/>
  <c r="L40" i="11"/>
  <c r="P40" i="11" s="1"/>
  <c r="K40" i="11"/>
  <c r="M40" i="11" s="1"/>
  <c r="Q40" i="11" s="1"/>
  <c r="J40" i="11"/>
  <c r="K39" i="11"/>
  <c r="M39" i="11" s="1"/>
  <c r="Q39" i="11" s="1"/>
  <c r="J39" i="11"/>
  <c r="L39" i="11" s="1"/>
  <c r="P39" i="11" s="1"/>
  <c r="I38" i="11"/>
  <c r="K38" i="11" s="1"/>
  <c r="M38" i="11" s="1"/>
  <c r="Q38" i="11" s="1"/>
  <c r="J38" i="11"/>
  <c r="L38" i="11" s="1"/>
  <c r="P38" i="11" s="1"/>
  <c r="I37" i="11"/>
  <c r="K37" i="11" s="1"/>
  <c r="M37" i="11" s="1"/>
  <c r="Q37" i="11" s="1"/>
  <c r="J37" i="11"/>
  <c r="L37" i="11" s="1"/>
  <c r="P37" i="11" s="1"/>
  <c r="I36" i="11"/>
  <c r="K36" i="11" s="1"/>
  <c r="M36" i="11" s="1"/>
  <c r="Q36" i="11" s="1"/>
  <c r="J36" i="11"/>
  <c r="L36" i="11" s="1"/>
  <c r="P36" i="11" s="1"/>
  <c r="I35" i="11"/>
  <c r="K35" i="11" s="1"/>
  <c r="M35" i="11" s="1"/>
  <c r="Q35" i="11" s="1"/>
  <c r="J35" i="11"/>
  <c r="L35" i="11" s="1"/>
  <c r="P35" i="11" s="1"/>
  <c r="K34" i="11"/>
  <c r="M34" i="11" s="1"/>
  <c r="Q34" i="11" s="1"/>
  <c r="I34" i="11"/>
  <c r="J34" i="11"/>
  <c r="L34" i="11" s="1"/>
  <c r="P34" i="11" s="1"/>
  <c r="I33" i="11"/>
  <c r="K33" i="11" s="1"/>
  <c r="M33" i="11" s="1"/>
  <c r="Q33" i="11" s="1"/>
  <c r="J33" i="11"/>
  <c r="L33" i="11" s="1"/>
  <c r="P33" i="11" s="1"/>
  <c r="I32" i="11"/>
  <c r="K32" i="11" s="1"/>
  <c r="M32" i="11" s="1"/>
  <c r="Q32" i="11" s="1"/>
  <c r="J32" i="11"/>
  <c r="L32" i="11" s="1"/>
  <c r="P32" i="11" s="1"/>
  <c r="I31" i="11"/>
  <c r="K31" i="11" s="1"/>
  <c r="M31" i="11" s="1"/>
  <c r="Q31" i="11" s="1"/>
  <c r="J31" i="11"/>
  <c r="L31" i="11" s="1"/>
  <c r="P31" i="11" s="1"/>
  <c r="I30" i="11"/>
  <c r="K30" i="11" s="1"/>
  <c r="M30" i="11" s="1"/>
  <c r="Q30" i="11" s="1"/>
  <c r="J30" i="11"/>
  <c r="L30" i="11" s="1"/>
  <c r="P30" i="11" s="1"/>
  <c r="I29" i="11"/>
  <c r="K29" i="11" s="1"/>
  <c r="M29" i="11" s="1"/>
  <c r="Q29" i="11" s="1"/>
  <c r="J29" i="11"/>
  <c r="L29" i="11" s="1"/>
  <c r="P29" i="11" s="1"/>
  <c r="I28" i="11"/>
  <c r="K28" i="11" s="1"/>
  <c r="M28" i="11" s="1"/>
  <c r="Q28" i="11" s="1"/>
  <c r="J28" i="11"/>
  <c r="L28" i="11" s="1"/>
  <c r="P28" i="11" s="1"/>
  <c r="I27" i="11"/>
  <c r="K27" i="11" s="1"/>
  <c r="M27" i="11" s="1"/>
  <c r="Q27" i="11" s="1"/>
  <c r="J27" i="11"/>
  <c r="L27" i="11" s="1"/>
  <c r="P27" i="11" s="1"/>
  <c r="I26" i="11"/>
  <c r="K26" i="11" s="1"/>
  <c r="M26" i="11" s="1"/>
  <c r="Q26" i="11" s="1"/>
  <c r="J26" i="11"/>
  <c r="L26" i="11" s="1"/>
  <c r="P26" i="11" s="1"/>
  <c r="K21" i="11"/>
  <c r="M21" i="11" s="1"/>
  <c r="Q21" i="11" s="1"/>
  <c r="J21" i="11"/>
  <c r="L21" i="11" s="1"/>
  <c r="P21" i="11" s="1"/>
  <c r="M20" i="11"/>
  <c r="Q20" i="11" s="1"/>
  <c r="L20" i="11"/>
  <c r="P20" i="11" s="1"/>
  <c r="K20" i="11"/>
  <c r="J20" i="11"/>
  <c r="K19" i="11"/>
  <c r="M19" i="11" s="1"/>
  <c r="Q19" i="11" s="1"/>
  <c r="J19" i="11"/>
  <c r="L19" i="11" s="1"/>
  <c r="P19" i="11" s="1"/>
  <c r="M18" i="11"/>
  <c r="Q18" i="11" s="1"/>
  <c r="L18" i="11"/>
  <c r="P18" i="11" s="1"/>
  <c r="K18" i="11"/>
  <c r="J18" i="11"/>
  <c r="I17" i="11"/>
  <c r="K17" i="11" s="1"/>
  <c r="M17" i="11" s="1"/>
  <c r="Q17" i="11" s="1"/>
  <c r="J17" i="11"/>
  <c r="L17" i="11" s="1"/>
  <c r="P17" i="11" s="1"/>
  <c r="I16" i="11"/>
  <c r="K16" i="11" s="1"/>
  <c r="M16" i="11" s="1"/>
  <c r="Q16" i="11" s="1"/>
  <c r="J16" i="11"/>
  <c r="L16" i="11" s="1"/>
  <c r="P16" i="11" s="1"/>
  <c r="I15" i="11"/>
  <c r="K15" i="11" s="1"/>
  <c r="M15" i="11" s="1"/>
  <c r="Q15" i="11" s="1"/>
  <c r="J15" i="11"/>
  <c r="L15" i="11" s="1"/>
  <c r="P15" i="11" s="1"/>
  <c r="I14" i="11"/>
  <c r="K14" i="11" s="1"/>
  <c r="M14" i="11" s="1"/>
  <c r="Q14" i="11" s="1"/>
  <c r="J14" i="11"/>
  <c r="L14" i="11" s="1"/>
  <c r="P14" i="11" s="1"/>
  <c r="K13" i="11"/>
  <c r="M13" i="11" s="1"/>
  <c r="Q13" i="11" s="1"/>
  <c r="J13" i="11"/>
  <c r="L13" i="11" s="1"/>
  <c r="P13" i="11" s="1"/>
  <c r="I13" i="11"/>
  <c r="I12" i="11"/>
  <c r="K12" i="11" s="1"/>
  <c r="M12" i="11" s="1"/>
  <c r="Q12" i="11" s="1"/>
  <c r="J12" i="11"/>
  <c r="L12" i="11" s="1"/>
  <c r="P12" i="11" s="1"/>
  <c r="I11" i="11"/>
  <c r="K11" i="11" s="1"/>
  <c r="M11" i="11" s="1"/>
  <c r="Q11" i="11" s="1"/>
  <c r="J11" i="11"/>
  <c r="L11" i="11" s="1"/>
  <c r="P11" i="11" s="1"/>
  <c r="I10" i="11"/>
  <c r="K10" i="11" s="1"/>
  <c r="M10" i="11" s="1"/>
  <c r="Q10" i="11" s="1"/>
  <c r="J10" i="11"/>
  <c r="L10" i="11" s="1"/>
  <c r="P10" i="11" s="1"/>
  <c r="I9" i="11"/>
  <c r="K9" i="11" s="1"/>
  <c r="M9" i="11" s="1"/>
  <c r="Q9" i="11" s="1"/>
  <c r="J9" i="11"/>
  <c r="L9" i="11" s="1"/>
  <c r="P9" i="11" s="1"/>
  <c r="I8" i="11"/>
  <c r="K8" i="11" s="1"/>
  <c r="M8" i="11" s="1"/>
  <c r="Q8" i="11" s="1"/>
  <c r="J8" i="11"/>
  <c r="L8" i="11" s="1"/>
  <c r="P8" i="11" s="1"/>
  <c r="I7" i="11"/>
  <c r="K7" i="11" s="1"/>
  <c r="M7" i="11" s="1"/>
  <c r="Q7" i="11" s="1"/>
  <c r="J7" i="11"/>
  <c r="L7" i="11" s="1"/>
  <c r="P7" i="11" s="1"/>
  <c r="I6" i="11"/>
  <c r="K6" i="11" s="1"/>
  <c r="M6" i="11" s="1"/>
  <c r="Q6" i="11" s="1"/>
  <c r="J6" i="11"/>
  <c r="L6" i="11" s="1"/>
  <c r="P6" i="11" s="1"/>
  <c r="I5" i="11"/>
  <c r="K5" i="11" s="1"/>
  <c r="M5" i="11" s="1"/>
  <c r="Q5" i="11" s="1"/>
  <c r="J5" i="11"/>
  <c r="L5" i="11" s="1"/>
  <c r="P5" i="11" s="1"/>
  <c r="BG21" i="10"/>
  <c r="AW21" i="10"/>
  <c r="AM21" i="10"/>
  <c r="AC21" i="10"/>
  <c r="S21" i="10"/>
  <c r="I21" i="10"/>
  <c r="BG20" i="10"/>
  <c r="AW20" i="10"/>
  <c r="AM20" i="10"/>
  <c r="AC20" i="10"/>
  <c r="S20" i="10"/>
  <c r="I20" i="10"/>
  <c r="BG19" i="10"/>
  <c r="AW19" i="10"/>
  <c r="AM19" i="10"/>
  <c r="AC19" i="10"/>
  <c r="S19" i="10"/>
  <c r="I19" i="10"/>
  <c r="BG18" i="10"/>
  <c r="AW18" i="10"/>
  <c r="AM18" i="10"/>
  <c r="AC18" i="10"/>
  <c r="S18" i="10"/>
  <c r="I18" i="10"/>
  <c r="BG17" i="10"/>
  <c r="AC13" i="10"/>
  <c r="S13" i="10"/>
  <c r="I13" i="10"/>
  <c r="BG12" i="10"/>
  <c r="AW12" i="10"/>
  <c r="AM12" i="10"/>
  <c r="AC12" i="10"/>
  <c r="S12" i="10"/>
  <c r="I12" i="10"/>
  <c r="BG11" i="10"/>
  <c r="AW11" i="10"/>
  <c r="AM11" i="10"/>
  <c r="AC11" i="10"/>
  <c r="S11" i="10"/>
  <c r="I11" i="10"/>
  <c r="BG10" i="10"/>
  <c r="AW10" i="10"/>
  <c r="AM10" i="10"/>
  <c r="AC10" i="10"/>
  <c r="S10" i="10"/>
  <c r="I10" i="10"/>
  <c r="BG9" i="10"/>
  <c r="AW9" i="10"/>
  <c r="AL9" i="10"/>
  <c r="AM9" i="10"/>
  <c r="AJ9" i="10"/>
  <c r="AB9" i="10"/>
  <c r="AC9" i="10"/>
  <c r="Z9" i="10"/>
  <c r="R9" i="10"/>
  <c r="S9" i="10"/>
  <c r="P9" i="10"/>
  <c r="H9" i="10"/>
  <c r="I9" i="10"/>
  <c r="F9" i="10"/>
  <c r="BF8" i="10"/>
  <c r="BG8" i="10"/>
  <c r="BD8" i="10"/>
  <c r="AV8" i="10"/>
  <c r="AW8" i="10"/>
  <c r="AT8" i="10"/>
  <c r="AL8" i="10"/>
  <c r="AM8" i="10"/>
  <c r="AJ8" i="10"/>
  <c r="AB8" i="10"/>
  <c r="AC8" i="10"/>
  <c r="Z8" i="10"/>
  <c r="R8" i="10"/>
  <c r="S8" i="10"/>
  <c r="P8" i="10"/>
  <c r="H8" i="10"/>
  <c r="I8" i="10"/>
  <c r="F8" i="10"/>
  <c r="BF7" i="10"/>
  <c r="BG7" i="10"/>
  <c r="BD7" i="10"/>
  <c r="AV7" i="10"/>
  <c r="AW7" i="10"/>
  <c r="AT7" i="10"/>
  <c r="AL7" i="10"/>
  <c r="AM7" i="10"/>
  <c r="AJ7" i="10"/>
  <c r="AB7" i="10"/>
  <c r="AC7" i="10"/>
  <c r="Z7" i="10"/>
  <c r="R7" i="10"/>
  <c r="S7" i="10"/>
  <c r="P7" i="10"/>
  <c r="H7" i="10"/>
  <c r="I7" i="10"/>
  <c r="F7" i="10"/>
  <c r="BF6" i="10"/>
  <c r="BG6" i="10"/>
  <c r="BD6" i="10"/>
  <c r="AT6" i="10"/>
  <c r="AW6" i="10"/>
  <c r="AV6" i="10"/>
  <c r="AC25" i="9" s="1"/>
  <c r="AJ6" i="10"/>
  <c r="AM6" i="10"/>
  <c r="AL6" i="10"/>
  <c r="W25" i="9" s="1"/>
  <c r="Z6" i="10"/>
  <c r="AC6" i="10"/>
  <c r="AB6" i="10"/>
  <c r="Q25" i="9" s="1"/>
  <c r="P6" i="10"/>
  <c r="S6" i="10"/>
  <c r="R6" i="10"/>
  <c r="K25" i="9" s="1"/>
  <c r="F6" i="10"/>
  <c r="I6" i="10"/>
  <c r="H6" i="10"/>
  <c r="E25" i="9" s="1"/>
  <c r="F25" i="9" s="1"/>
  <c r="BE22" i="10"/>
  <c r="BD5" i="10"/>
  <c r="BB22" i="10"/>
  <c r="AU22" i="10"/>
  <c r="AT5" i="10"/>
  <c r="AR22" i="10"/>
  <c r="AK22" i="10"/>
  <c r="AI22" i="10"/>
  <c r="AH22" i="10"/>
  <c r="AA22" i="10"/>
  <c r="X22" i="10"/>
  <c r="Q22" i="10"/>
  <c r="O22" i="10"/>
  <c r="N22" i="10"/>
  <c r="G22" i="10"/>
  <c r="E22" i="10"/>
  <c r="D22" i="10"/>
  <c r="AH63" i="9"/>
  <c r="AB63" i="9"/>
  <c r="V63" i="9"/>
  <c r="AI62" i="9"/>
  <c r="AC62" i="9"/>
  <c r="W62" i="9"/>
  <c r="S62" i="9"/>
  <c r="Q62" i="9"/>
  <c r="M62" i="9"/>
  <c r="K62" i="9"/>
  <c r="E62" i="9"/>
  <c r="AI61" i="9"/>
  <c r="AC61" i="9"/>
  <c r="W61" i="9"/>
  <c r="S61" i="9"/>
  <c r="Q61" i="9"/>
  <c r="M61" i="9"/>
  <c r="K61" i="9"/>
  <c r="E61" i="9"/>
  <c r="F61" i="9"/>
  <c r="I61" i="9" s="1"/>
  <c r="L61" i="9" s="1"/>
  <c r="O61" i="9" s="1"/>
  <c r="R61" i="9" s="1"/>
  <c r="U61" i="9" s="1"/>
  <c r="AI60" i="9"/>
  <c r="AC60" i="9"/>
  <c r="W60" i="9"/>
  <c r="S60" i="9"/>
  <c r="Q60" i="9"/>
  <c r="M60" i="9"/>
  <c r="K60" i="9"/>
  <c r="E60" i="9"/>
  <c r="AI59" i="9"/>
  <c r="AC59" i="9"/>
  <c r="W59" i="9"/>
  <c r="S59" i="9"/>
  <c r="T59" i="9" s="1"/>
  <c r="Q59" i="9"/>
  <c r="M59" i="9"/>
  <c r="N59" i="9" s="1"/>
  <c r="K59" i="9"/>
  <c r="F59" i="9"/>
  <c r="I59" i="9" s="1"/>
  <c r="L59" i="9" s="1"/>
  <c r="O59" i="9" s="1"/>
  <c r="R59" i="9" s="1"/>
  <c r="U59" i="9" s="1"/>
  <c r="E59" i="9"/>
  <c r="H59" i="9"/>
  <c r="AI58" i="9"/>
  <c r="AC58" i="9"/>
  <c r="W58" i="9"/>
  <c r="S58" i="9"/>
  <c r="Q58" i="9"/>
  <c r="M58" i="9"/>
  <c r="K58" i="9"/>
  <c r="E58" i="9"/>
  <c r="AI57" i="9"/>
  <c r="AC57" i="9"/>
  <c r="W57" i="9"/>
  <c r="S57" i="9"/>
  <c r="T57" i="9" s="1"/>
  <c r="J16" i="9" s="1"/>
  <c r="D54" i="19" s="1"/>
  <c r="Q57" i="9"/>
  <c r="M57" i="9"/>
  <c r="K57" i="9"/>
  <c r="E57" i="9"/>
  <c r="F57" i="9"/>
  <c r="I57" i="9" s="1"/>
  <c r="L57" i="9" s="1"/>
  <c r="O57" i="9" s="1"/>
  <c r="R57" i="9" s="1"/>
  <c r="U57" i="9" s="1"/>
  <c r="H57" i="9"/>
  <c r="D16" i="9" s="1"/>
  <c r="D16" i="19" s="1"/>
  <c r="AI56" i="9"/>
  <c r="AC56" i="9"/>
  <c r="W56" i="9"/>
  <c r="S56" i="9"/>
  <c r="Q56" i="9"/>
  <c r="M56" i="9"/>
  <c r="K56" i="9"/>
  <c r="E56" i="9"/>
  <c r="AI55" i="9"/>
  <c r="AC55" i="9"/>
  <c r="W55" i="9"/>
  <c r="S55" i="9"/>
  <c r="T55" i="9" s="1"/>
  <c r="J14" i="9" s="1"/>
  <c r="D52" i="19" s="1"/>
  <c r="Q55" i="9"/>
  <c r="M55" i="9"/>
  <c r="K55" i="9"/>
  <c r="F55" i="9"/>
  <c r="I55" i="9" s="1"/>
  <c r="L55" i="9" s="1"/>
  <c r="O55" i="9" s="1"/>
  <c r="R55" i="9" s="1"/>
  <c r="U55" i="9" s="1"/>
  <c r="E55" i="9"/>
  <c r="H55" i="9"/>
  <c r="D14" i="9" s="1"/>
  <c r="D14" i="19" s="1"/>
  <c r="AI54" i="9"/>
  <c r="AC54" i="9"/>
  <c r="W54" i="9"/>
  <c r="S54" i="9"/>
  <c r="Q54" i="9"/>
  <c r="M54" i="9"/>
  <c r="K54" i="9"/>
  <c r="E54" i="9"/>
  <c r="AI53" i="9"/>
  <c r="AC53" i="9"/>
  <c r="W53" i="9"/>
  <c r="S53" i="9"/>
  <c r="Q53" i="9"/>
  <c r="M53" i="9"/>
  <c r="K53" i="9"/>
  <c r="E53" i="9"/>
  <c r="F53" i="9"/>
  <c r="I53" i="9" s="1"/>
  <c r="L53" i="9" s="1"/>
  <c r="O53" i="9" s="1"/>
  <c r="R53" i="9" s="1"/>
  <c r="U53" i="9" s="1"/>
  <c r="AI52" i="9"/>
  <c r="AC52" i="9"/>
  <c r="W52" i="9"/>
  <c r="S52" i="9"/>
  <c r="Q52" i="9"/>
  <c r="M52" i="9"/>
  <c r="K52" i="9"/>
  <c r="E52" i="9"/>
  <c r="AI51" i="9"/>
  <c r="AC51" i="9"/>
  <c r="W51" i="9"/>
  <c r="S51" i="9"/>
  <c r="Q51" i="9"/>
  <c r="M51" i="9"/>
  <c r="N51" i="9" s="1"/>
  <c r="G10" i="9" s="1"/>
  <c r="D29" i="19" s="1"/>
  <c r="K51" i="9"/>
  <c r="F51" i="9"/>
  <c r="I51" i="9" s="1"/>
  <c r="L51" i="9" s="1"/>
  <c r="O51" i="9" s="1"/>
  <c r="R51" i="9" s="1"/>
  <c r="U51" i="9" s="1"/>
  <c r="E51" i="9"/>
  <c r="H51" i="9"/>
  <c r="D10" i="9" s="1"/>
  <c r="D10" i="19" s="1"/>
  <c r="AI50" i="9"/>
  <c r="AC50" i="9"/>
  <c r="W50" i="9"/>
  <c r="S50" i="9"/>
  <c r="Q50" i="9"/>
  <c r="M50" i="9"/>
  <c r="K50" i="9"/>
  <c r="E50" i="9"/>
  <c r="AI49" i="9"/>
  <c r="AC49" i="9"/>
  <c r="W49" i="9"/>
  <c r="S49" i="9"/>
  <c r="T49" i="9" s="1"/>
  <c r="J8" i="9" s="1"/>
  <c r="D46" i="19" s="1"/>
  <c r="Q49" i="9"/>
  <c r="M49" i="9"/>
  <c r="K49" i="9"/>
  <c r="E49" i="9"/>
  <c r="F49" i="9"/>
  <c r="I49" i="9" s="1"/>
  <c r="L49" i="9" s="1"/>
  <c r="O49" i="9" s="1"/>
  <c r="R49" i="9" s="1"/>
  <c r="U49" i="9" s="1"/>
  <c r="H49" i="9"/>
  <c r="D8" i="9" s="1"/>
  <c r="D8" i="19" s="1"/>
  <c r="AI48" i="9"/>
  <c r="AC48" i="9"/>
  <c r="W48" i="9"/>
  <c r="S48" i="9"/>
  <c r="Q48" i="9"/>
  <c r="M48" i="9"/>
  <c r="K48" i="9"/>
  <c r="E48" i="9"/>
  <c r="AI47" i="9"/>
  <c r="AC47" i="9"/>
  <c r="W47" i="9"/>
  <c r="S47" i="9"/>
  <c r="T47" i="9" s="1"/>
  <c r="J6" i="9" s="1"/>
  <c r="D44" i="19" s="1"/>
  <c r="Q47" i="9"/>
  <c r="M47" i="9"/>
  <c r="K47" i="9"/>
  <c r="E47" i="9"/>
  <c r="F47" i="9"/>
  <c r="I47" i="9" s="1"/>
  <c r="L47" i="9" s="1"/>
  <c r="O47" i="9" s="1"/>
  <c r="R47" i="9" s="1"/>
  <c r="U47" i="9" s="1"/>
  <c r="H47" i="9"/>
  <c r="D6" i="9" s="1"/>
  <c r="D6" i="19" s="1"/>
  <c r="AI46" i="9"/>
  <c r="AI63" i="9" s="1"/>
  <c r="AC46" i="9"/>
  <c r="AC63" i="9" s="1"/>
  <c r="W46" i="9"/>
  <c r="W63" i="9" s="1"/>
  <c r="S46" i="9"/>
  <c r="Q46" i="9"/>
  <c r="Q63" i="9" s="1"/>
  <c r="P63" i="9"/>
  <c r="M46" i="9"/>
  <c r="K46" i="9"/>
  <c r="K63" i="9" s="1"/>
  <c r="J63" i="9"/>
  <c r="E46" i="9"/>
  <c r="E63" i="9" s="1"/>
  <c r="D63" i="9"/>
  <c r="C63" i="9"/>
  <c r="AH41" i="9"/>
  <c r="AB41" i="9"/>
  <c r="V41" i="9"/>
  <c r="S40" i="9"/>
  <c r="P40" i="9"/>
  <c r="M40" i="9"/>
  <c r="J40" i="9"/>
  <c r="D40" i="9"/>
  <c r="S39" i="9"/>
  <c r="P39" i="9"/>
  <c r="M39" i="9"/>
  <c r="J39" i="9"/>
  <c r="D39" i="9"/>
  <c r="S38" i="9"/>
  <c r="P38" i="9"/>
  <c r="M38" i="9"/>
  <c r="J38" i="9"/>
  <c r="D38" i="9"/>
  <c r="S37" i="9"/>
  <c r="P37" i="9"/>
  <c r="M37" i="9"/>
  <c r="J37" i="9"/>
  <c r="D37" i="9"/>
  <c r="S36" i="9"/>
  <c r="P36" i="9"/>
  <c r="M36" i="9"/>
  <c r="J36" i="9"/>
  <c r="D36" i="9"/>
  <c r="S35" i="9"/>
  <c r="P35" i="9"/>
  <c r="M35" i="9"/>
  <c r="J35" i="9"/>
  <c r="D35" i="9"/>
  <c r="S34" i="9"/>
  <c r="P34" i="9"/>
  <c r="M34" i="9"/>
  <c r="J34" i="9"/>
  <c r="D34" i="9"/>
  <c r="S33" i="9"/>
  <c r="P33" i="9"/>
  <c r="M33" i="9"/>
  <c r="J33" i="9"/>
  <c r="D33" i="9"/>
  <c r="S32" i="9"/>
  <c r="P32" i="9"/>
  <c r="M32" i="9"/>
  <c r="J32" i="9"/>
  <c r="D32" i="9"/>
  <c r="S31" i="9"/>
  <c r="P31" i="9"/>
  <c r="M31" i="9"/>
  <c r="J31" i="9"/>
  <c r="D31" i="9"/>
  <c r="S30" i="9"/>
  <c r="P30" i="9"/>
  <c r="M30" i="9"/>
  <c r="J30" i="9"/>
  <c r="D30" i="9"/>
  <c r="S29" i="9"/>
  <c r="P29" i="9"/>
  <c r="M29" i="9"/>
  <c r="J29" i="9"/>
  <c r="D29" i="9"/>
  <c r="W28" i="9"/>
  <c r="S28" i="9"/>
  <c r="Q28" i="9"/>
  <c r="P28" i="9"/>
  <c r="M28" i="9"/>
  <c r="N28" i="9" s="1"/>
  <c r="H9" i="9" s="1"/>
  <c r="E28" i="19" s="1"/>
  <c r="K28" i="9"/>
  <c r="J28" i="9"/>
  <c r="F28" i="9"/>
  <c r="I28" i="9" s="1"/>
  <c r="L28" i="9" s="1"/>
  <c r="O28" i="9" s="1"/>
  <c r="R28" i="9" s="1"/>
  <c r="U28" i="9" s="1"/>
  <c r="E28" i="9"/>
  <c r="D28" i="9"/>
  <c r="AI27" i="9"/>
  <c r="AC27" i="9"/>
  <c r="W27" i="9"/>
  <c r="S27" i="9"/>
  <c r="Q27" i="9"/>
  <c r="P27" i="9"/>
  <c r="M27" i="9"/>
  <c r="N27" i="9" s="1"/>
  <c r="H8" i="9" s="1"/>
  <c r="E27" i="19" s="1"/>
  <c r="K27" i="9"/>
  <c r="J27" i="9"/>
  <c r="F27" i="9"/>
  <c r="I27" i="9" s="1"/>
  <c r="L27" i="9" s="1"/>
  <c r="O27" i="9" s="1"/>
  <c r="R27" i="9" s="1"/>
  <c r="U27" i="9" s="1"/>
  <c r="E27" i="9"/>
  <c r="D27" i="9"/>
  <c r="AI26" i="9"/>
  <c r="AC26" i="9"/>
  <c r="W26" i="9"/>
  <c r="S26" i="9"/>
  <c r="Q26" i="9"/>
  <c r="P26" i="9"/>
  <c r="M26" i="9"/>
  <c r="N26" i="9" s="1"/>
  <c r="H7" i="9" s="1"/>
  <c r="E26" i="19" s="1"/>
  <c r="K26" i="9"/>
  <c r="J26" i="9"/>
  <c r="F26" i="9"/>
  <c r="I26" i="9" s="1"/>
  <c r="L26" i="9" s="1"/>
  <c r="O26" i="9" s="1"/>
  <c r="R26" i="9" s="1"/>
  <c r="U26" i="9" s="1"/>
  <c r="E26" i="9"/>
  <c r="D26" i="9"/>
  <c r="AI25" i="9"/>
  <c r="S25" i="9"/>
  <c r="P25" i="9"/>
  <c r="M25" i="9"/>
  <c r="J25" i="9"/>
  <c r="D25" i="9"/>
  <c r="S24" i="9"/>
  <c r="P24" i="9"/>
  <c r="P41" i="9" s="1"/>
  <c r="M24" i="9"/>
  <c r="J24" i="9"/>
  <c r="J41" i="9" s="1"/>
  <c r="D24" i="9"/>
  <c r="D41" i="9" s="1"/>
  <c r="R19" i="9"/>
  <c r="O19" i="9"/>
  <c r="L19" i="9"/>
  <c r="I19" i="9"/>
  <c r="F19" i="9"/>
  <c r="C19" i="9"/>
  <c r="BQ60" i="8"/>
  <c r="BD60" i="8"/>
  <c r="AQ60" i="8"/>
  <c r="AV60" i="8"/>
  <c r="AT60" i="8"/>
  <c r="AE60" i="8"/>
  <c r="R60" i="8"/>
  <c r="E60" i="8"/>
  <c r="G60" i="8"/>
  <c r="P60" i="8" s="1"/>
  <c r="BQ59" i="8"/>
  <c r="BD59" i="8"/>
  <c r="AQ59" i="8"/>
  <c r="AV59" i="8"/>
  <c r="AE59" i="8"/>
  <c r="R59" i="8"/>
  <c r="E59" i="8"/>
  <c r="G59" i="8"/>
  <c r="BQ58" i="8"/>
  <c r="BD58" i="8"/>
  <c r="AQ58" i="8"/>
  <c r="AV58" i="8"/>
  <c r="AT58" i="8"/>
  <c r="AE58" i="8"/>
  <c r="R58" i="8"/>
  <c r="I58" i="8"/>
  <c r="K58" i="8" s="1"/>
  <c r="E58" i="8"/>
  <c r="G58" i="8"/>
  <c r="P58" i="8" s="1"/>
  <c r="BQ57" i="8"/>
  <c r="BD57" i="8"/>
  <c r="AQ57" i="8"/>
  <c r="AV57" i="8"/>
  <c r="AE57" i="8"/>
  <c r="R57" i="8"/>
  <c r="E57" i="8"/>
  <c r="G57" i="8"/>
  <c r="BQ56" i="8"/>
  <c r="BD56" i="8"/>
  <c r="AQ56" i="8"/>
  <c r="AV56" i="8"/>
  <c r="AT56" i="8"/>
  <c r="AE56" i="8"/>
  <c r="S56" i="8"/>
  <c r="R56" i="8"/>
  <c r="F56" i="8"/>
  <c r="E56" i="8"/>
  <c r="G56" i="8"/>
  <c r="P56" i="8" s="1"/>
  <c r="BQ55" i="8"/>
  <c r="BD55" i="8"/>
  <c r="AQ55" i="8"/>
  <c r="AV55" i="8"/>
  <c r="AT55" i="8"/>
  <c r="AE55" i="8"/>
  <c r="S55" i="8"/>
  <c r="R55" i="8"/>
  <c r="F55" i="8"/>
  <c r="E55" i="8"/>
  <c r="G55" i="8"/>
  <c r="BQ54" i="8"/>
  <c r="BD54" i="8"/>
  <c r="AQ54" i="8"/>
  <c r="AV54" i="8"/>
  <c r="AT54" i="8"/>
  <c r="AE54" i="8"/>
  <c r="S54" i="8"/>
  <c r="R54" i="8"/>
  <c r="F54" i="8"/>
  <c r="E54" i="8"/>
  <c r="G54" i="8"/>
  <c r="BQ53" i="8"/>
  <c r="BD53" i="8"/>
  <c r="AQ53" i="8"/>
  <c r="AV53" i="8"/>
  <c r="AT53" i="8"/>
  <c r="AE53" i="8"/>
  <c r="S53" i="8"/>
  <c r="R53" i="8"/>
  <c r="T53" i="8"/>
  <c r="AC53" i="8" s="1"/>
  <c r="F53" i="8"/>
  <c r="E53" i="8"/>
  <c r="G53" i="8"/>
  <c r="BQ52" i="8"/>
  <c r="BD52" i="8"/>
  <c r="AQ52" i="8"/>
  <c r="AV52" i="8"/>
  <c r="AT52" i="8"/>
  <c r="AE52" i="8"/>
  <c r="S52" i="8"/>
  <c r="R52" i="8"/>
  <c r="T52" i="8"/>
  <c r="AC52" i="8" s="1"/>
  <c r="F52" i="8"/>
  <c r="E52" i="8"/>
  <c r="G52" i="8"/>
  <c r="BQ51" i="8"/>
  <c r="BD51" i="8"/>
  <c r="AQ51" i="8"/>
  <c r="AV51" i="8"/>
  <c r="AE51" i="8"/>
  <c r="AG51" i="8"/>
  <c r="AP51" i="8" s="1"/>
  <c r="AS51" i="8" s="1"/>
  <c r="BC51" i="8" s="1"/>
  <c r="BF51" i="8" s="1"/>
  <c r="BP51" i="8" s="1"/>
  <c r="BS51" i="8" s="1"/>
  <c r="S51" i="8"/>
  <c r="R51" i="8"/>
  <c r="F51" i="8"/>
  <c r="E51" i="8"/>
  <c r="G51" i="8"/>
  <c r="BQ50" i="8"/>
  <c r="BD50" i="8"/>
  <c r="AQ50" i="8"/>
  <c r="AV50" i="8"/>
  <c r="AT50" i="8"/>
  <c r="AE50" i="8"/>
  <c r="AG50" i="8"/>
  <c r="AP50" i="8" s="1"/>
  <c r="AS50" i="8" s="1"/>
  <c r="BC50" i="8" s="1"/>
  <c r="BF50" i="8" s="1"/>
  <c r="BP50" i="8" s="1"/>
  <c r="BS50" i="8" s="1"/>
  <c r="S50" i="8"/>
  <c r="R50" i="8"/>
  <c r="T50" i="8"/>
  <c r="F50" i="8"/>
  <c r="E50" i="8"/>
  <c r="BQ49" i="8"/>
  <c r="BD49" i="8"/>
  <c r="AQ49" i="8"/>
  <c r="AV49" i="8"/>
  <c r="AE49" i="8"/>
  <c r="AG49" i="8"/>
  <c r="AP49" i="8" s="1"/>
  <c r="AS49" i="8" s="1"/>
  <c r="BC49" i="8" s="1"/>
  <c r="BF49" i="8" s="1"/>
  <c r="BP49" i="8" s="1"/>
  <c r="BS49" i="8" s="1"/>
  <c r="S49" i="8"/>
  <c r="R49" i="8"/>
  <c r="T49" i="8"/>
  <c r="F49" i="8"/>
  <c r="E49" i="8"/>
  <c r="G49" i="8"/>
  <c r="BQ48" i="8"/>
  <c r="BD48" i="8"/>
  <c r="AQ48" i="8"/>
  <c r="AV48" i="8"/>
  <c r="AT48" i="8"/>
  <c r="AE48" i="8"/>
  <c r="S48" i="8"/>
  <c r="R48" i="8"/>
  <c r="T48" i="8"/>
  <c r="F48" i="8"/>
  <c r="E48" i="8"/>
  <c r="G48" i="8"/>
  <c r="BQ47" i="8"/>
  <c r="BD47" i="8"/>
  <c r="AQ47" i="8"/>
  <c r="AV47" i="8"/>
  <c r="AE47" i="8"/>
  <c r="AG47" i="8"/>
  <c r="AP47" i="8" s="1"/>
  <c r="AS47" i="8" s="1"/>
  <c r="BC47" i="8" s="1"/>
  <c r="BF47" i="8" s="1"/>
  <c r="BP47" i="8" s="1"/>
  <c r="BS47" i="8" s="1"/>
  <c r="S47" i="8"/>
  <c r="R47" i="8"/>
  <c r="F47" i="8"/>
  <c r="E47" i="8"/>
  <c r="G47" i="8"/>
  <c r="BQ46" i="8"/>
  <c r="BD46" i="8"/>
  <c r="AQ46" i="8"/>
  <c r="AV46" i="8"/>
  <c r="AT46" i="8"/>
  <c r="AE46" i="8"/>
  <c r="AG46" i="8"/>
  <c r="AP46" i="8" s="1"/>
  <c r="AS46" i="8" s="1"/>
  <c r="BC46" i="8" s="1"/>
  <c r="BF46" i="8" s="1"/>
  <c r="BP46" i="8" s="1"/>
  <c r="BS46" i="8" s="1"/>
  <c r="S46" i="8"/>
  <c r="R46" i="8"/>
  <c r="T46" i="8"/>
  <c r="F46" i="8"/>
  <c r="E46" i="8"/>
  <c r="BQ45" i="8"/>
  <c r="BD45" i="8"/>
  <c r="AQ45" i="8"/>
  <c r="AV45" i="8"/>
  <c r="AE45" i="8"/>
  <c r="AG45" i="8"/>
  <c r="AP45" i="8" s="1"/>
  <c r="AS45" i="8" s="1"/>
  <c r="BC45" i="8" s="1"/>
  <c r="BF45" i="8" s="1"/>
  <c r="BP45" i="8" s="1"/>
  <c r="BS45" i="8" s="1"/>
  <c r="S45" i="8"/>
  <c r="R45" i="8"/>
  <c r="T45" i="8"/>
  <c r="F45" i="8"/>
  <c r="E45" i="8"/>
  <c r="G45" i="8"/>
  <c r="BQ44" i="8"/>
  <c r="BQ61" i="8" s="1"/>
  <c r="BD44" i="8"/>
  <c r="BD61" i="8" s="1"/>
  <c r="AQ44" i="8"/>
  <c r="AQ61" i="8" s="1"/>
  <c r="AV44" i="8"/>
  <c r="AT44" i="8"/>
  <c r="AE44" i="8"/>
  <c r="AE61" i="8" s="1"/>
  <c r="AD61" i="8"/>
  <c r="W61" i="8"/>
  <c r="S44" i="8"/>
  <c r="R44" i="8"/>
  <c r="R61" i="8" s="1"/>
  <c r="Q61" i="8"/>
  <c r="T44" i="8"/>
  <c r="J61" i="8"/>
  <c r="F44" i="8"/>
  <c r="F61" i="8" s="1"/>
  <c r="E44" i="8"/>
  <c r="E61" i="8" s="1"/>
  <c r="D61" i="8"/>
  <c r="G44" i="8"/>
  <c r="AJ39" i="8"/>
  <c r="AT39" i="8"/>
  <c r="AD39" i="8"/>
  <c r="W39" i="8"/>
  <c r="Q39" i="8"/>
  <c r="J39" i="8"/>
  <c r="D39" i="8"/>
  <c r="C39" i="8"/>
  <c r="AJ38" i="8"/>
  <c r="AD38" i="8"/>
  <c r="W38" i="8"/>
  <c r="Q38" i="8"/>
  <c r="J38" i="8"/>
  <c r="D38" i="8"/>
  <c r="C38" i="8"/>
  <c r="AJ37" i="8"/>
  <c r="AT37" i="8"/>
  <c r="AD37" i="8"/>
  <c r="W37" i="8"/>
  <c r="Q37" i="8"/>
  <c r="J37" i="8"/>
  <c r="D37" i="8"/>
  <c r="C37" i="8"/>
  <c r="AJ36" i="8"/>
  <c r="AD36" i="8"/>
  <c r="W36" i="8"/>
  <c r="Q36" i="8"/>
  <c r="J36" i="8"/>
  <c r="D36" i="8"/>
  <c r="C36" i="8"/>
  <c r="AJ35" i="8"/>
  <c r="AT35" i="8"/>
  <c r="AD35" i="8"/>
  <c r="W35" i="8"/>
  <c r="Q35" i="8"/>
  <c r="J35" i="8"/>
  <c r="D35" i="8"/>
  <c r="AJ34" i="8"/>
  <c r="AD34" i="8"/>
  <c r="W34" i="8"/>
  <c r="Q34" i="8"/>
  <c r="J34" i="8"/>
  <c r="D34" i="8"/>
  <c r="AJ33" i="8"/>
  <c r="AT33" i="8"/>
  <c r="AD33" i="8"/>
  <c r="W33" i="8"/>
  <c r="Q33" i="8"/>
  <c r="J33" i="8"/>
  <c r="D33" i="8"/>
  <c r="AJ32" i="8"/>
  <c r="AD32" i="8"/>
  <c r="W32" i="8"/>
  <c r="Q32" i="8"/>
  <c r="J32" i="8"/>
  <c r="D32" i="8"/>
  <c r="AJ31" i="8"/>
  <c r="AT31" i="8"/>
  <c r="AD31" i="8"/>
  <c r="W31" i="8"/>
  <c r="Q31" i="8"/>
  <c r="J31" i="8"/>
  <c r="D31" i="8"/>
  <c r="AJ30" i="8"/>
  <c r="AT30" i="8"/>
  <c r="AD30" i="8"/>
  <c r="W30" i="8"/>
  <c r="Q30" i="8"/>
  <c r="J30" i="8"/>
  <c r="D30" i="8"/>
  <c r="AJ29" i="8"/>
  <c r="AT29" i="8"/>
  <c r="AD29" i="8"/>
  <c r="W29" i="8"/>
  <c r="Q29" i="8"/>
  <c r="J29" i="8"/>
  <c r="D29" i="8"/>
  <c r="AJ28" i="8"/>
  <c r="AT28" i="8"/>
  <c r="AD28" i="8"/>
  <c r="W28" i="8"/>
  <c r="Q28" i="8"/>
  <c r="J28" i="8"/>
  <c r="D28" i="8"/>
  <c r="AQ27" i="8"/>
  <c r="AJ27" i="8"/>
  <c r="AT27" i="8"/>
  <c r="AE27" i="8"/>
  <c r="AD27" i="8"/>
  <c r="W27" i="8"/>
  <c r="R27" i="8"/>
  <c r="Q27" i="8"/>
  <c r="J27" i="8"/>
  <c r="E27" i="8"/>
  <c r="D27" i="8"/>
  <c r="BQ26" i="8"/>
  <c r="BD26" i="8"/>
  <c r="AQ26" i="8"/>
  <c r="AJ26" i="8"/>
  <c r="AT26" i="8"/>
  <c r="AE26" i="8"/>
  <c r="AD26" i="8"/>
  <c r="W26" i="8"/>
  <c r="R26" i="8"/>
  <c r="Q26" i="8"/>
  <c r="J26" i="8"/>
  <c r="E26" i="8"/>
  <c r="D26" i="8"/>
  <c r="BQ25" i="8"/>
  <c r="BD25" i="8"/>
  <c r="AQ25" i="8"/>
  <c r="AJ25" i="8"/>
  <c r="AT25" i="8"/>
  <c r="AE25" i="8"/>
  <c r="AD25" i="8"/>
  <c r="W25" i="8"/>
  <c r="R25" i="8"/>
  <c r="Q25" i="8"/>
  <c r="J25" i="8"/>
  <c r="E25" i="8"/>
  <c r="D25" i="8"/>
  <c r="BQ24" i="8"/>
  <c r="BD24" i="8"/>
  <c r="AQ24" i="8"/>
  <c r="AJ24" i="8"/>
  <c r="AT24" i="8"/>
  <c r="AE24" i="8"/>
  <c r="AD24" i="8"/>
  <c r="W24" i="8"/>
  <c r="R24" i="8"/>
  <c r="Q24" i="8"/>
  <c r="J24" i="8"/>
  <c r="E24" i="8"/>
  <c r="D24" i="8"/>
  <c r="BQ23" i="8"/>
  <c r="BD23" i="8"/>
  <c r="AJ23" i="8"/>
  <c r="AJ40" i="8" s="1"/>
  <c r="AT23" i="8"/>
  <c r="AD23" i="8"/>
  <c r="AD40" i="8" s="1"/>
  <c r="W23" i="8"/>
  <c r="W40" i="8" s="1"/>
  <c r="Q23" i="8"/>
  <c r="Q40" i="8" s="1"/>
  <c r="J23" i="8"/>
  <c r="J40" i="8" s="1"/>
  <c r="D23" i="8"/>
  <c r="D40" i="8" s="1"/>
  <c r="BQ19" i="8"/>
  <c r="BP19" i="8"/>
  <c r="BD19" i="8"/>
  <c r="BC19" i="8"/>
  <c r="AQ19" i="8"/>
  <c r="AP19" i="8"/>
  <c r="AD19" i="8"/>
  <c r="AC19" i="8"/>
  <c r="Q19" i="8"/>
  <c r="P19" i="8"/>
  <c r="D19" i="8"/>
  <c r="C19" i="8"/>
  <c r="BR18" i="8"/>
  <c r="F113" i="19" s="1"/>
  <c r="BE18" i="8"/>
  <c r="F94" i="19" s="1"/>
  <c r="AR18" i="8"/>
  <c r="F75" i="19" s="1"/>
  <c r="AJ18" i="8"/>
  <c r="AG18" i="8"/>
  <c r="AE18" i="8"/>
  <c r="F56" i="19" s="1"/>
  <c r="W18" i="8"/>
  <c r="T18" i="8"/>
  <c r="R18" i="8"/>
  <c r="F37" i="19" s="1"/>
  <c r="U37" i="19" s="1"/>
  <c r="AD37" i="19" s="1"/>
  <c r="J18" i="8"/>
  <c r="G18" i="8"/>
  <c r="E18" i="8"/>
  <c r="F18" i="19" s="1"/>
  <c r="U18" i="19" s="1"/>
  <c r="AD18" i="19" s="1"/>
  <c r="BR17" i="8"/>
  <c r="F112" i="19" s="1"/>
  <c r="BE17" i="8"/>
  <c r="F93" i="19" s="1"/>
  <c r="AR17" i="8"/>
  <c r="F74" i="19" s="1"/>
  <c r="AJ17" i="8"/>
  <c r="AG17" i="8"/>
  <c r="AE17" i="8"/>
  <c r="F55" i="19" s="1"/>
  <c r="W17" i="8"/>
  <c r="T17" i="8"/>
  <c r="R17" i="8"/>
  <c r="F36" i="19" s="1"/>
  <c r="U36" i="19" s="1"/>
  <c r="AD36" i="19" s="1"/>
  <c r="J17" i="8"/>
  <c r="G17" i="8"/>
  <c r="E17" i="8"/>
  <c r="F17" i="19" s="1"/>
  <c r="U17" i="19" s="1"/>
  <c r="AD17" i="19" s="1"/>
  <c r="BR16" i="8"/>
  <c r="F111" i="19" s="1"/>
  <c r="U111" i="19" s="1"/>
  <c r="AD111" i="19" s="1"/>
  <c r="BE16" i="8"/>
  <c r="F92" i="19" s="1"/>
  <c r="U92" i="19" s="1"/>
  <c r="AD92" i="19" s="1"/>
  <c r="AR16" i="8"/>
  <c r="F73" i="19" s="1"/>
  <c r="U73" i="19" s="1"/>
  <c r="AD73" i="19" s="1"/>
  <c r="AJ16" i="8"/>
  <c r="AG16" i="8"/>
  <c r="AE16" i="8"/>
  <c r="F54" i="19" s="1"/>
  <c r="U54" i="19" s="1"/>
  <c r="AD54" i="19" s="1"/>
  <c r="W16" i="8"/>
  <c r="T16" i="8"/>
  <c r="R16" i="8"/>
  <c r="F35" i="19" s="1"/>
  <c r="J16" i="8"/>
  <c r="G16" i="8"/>
  <c r="E16" i="8"/>
  <c r="F16" i="19" s="1"/>
  <c r="U16" i="19" s="1"/>
  <c r="AD16" i="19" s="1"/>
  <c r="BR15" i="8"/>
  <c r="F110" i="19" s="1"/>
  <c r="BE15" i="8"/>
  <c r="F91" i="19" s="1"/>
  <c r="U91" i="19" s="1"/>
  <c r="AD91" i="19" s="1"/>
  <c r="AR15" i="8"/>
  <c r="F72" i="19" s="1"/>
  <c r="AJ15" i="8"/>
  <c r="AG15" i="8"/>
  <c r="AE15" i="8"/>
  <c r="F53" i="19" s="1"/>
  <c r="W15" i="8"/>
  <c r="T15" i="8"/>
  <c r="R15" i="8"/>
  <c r="F34" i="19" s="1"/>
  <c r="J15" i="8"/>
  <c r="G15" i="8"/>
  <c r="E15" i="8"/>
  <c r="F15" i="19" s="1"/>
  <c r="U15" i="19" s="1"/>
  <c r="AD15" i="19" s="1"/>
  <c r="BR14" i="8"/>
  <c r="F109" i="19" s="1"/>
  <c r="BE14" i="8"/>
  <c r="F90" i="19" s="1"/>
  <c r="AR14" i="8"/>
  <c r="F71" i="19" s="1"/>
  <c r="AJ14" i="8"/>
  <c r="AG14" i="8"/>
  <c r="AE14" i="8"/>
  <c r="F52" i="19" s="1"/>
  <c r="U52" i="19" s="1"/>
  <c r="AD52" i="19" s="1"/>
  <c r="W14" i="8"/>
  <c r="T14" i="8"/>
  <c r="R14" i="8"/>
  <c r="F33" i="19" s="1"/>
  <c r="U33" i="19" s="1"/>
  <c r="AD33" i="19" s="1"/>
  <c r="J14" i="8"/>
  <c r="G14" i="8"/>
  <c r="E14" i="8"/>
  <c r="F14" i="19" s="1"/>
  <c r="U14" i="19" s="1"/>
  <c r="AD14" i="19" s="1"/>
  <c r="BR13" i="8"/>
  <c r="F108" i="19" s="1"/>
  <c r="BE13" i="8"/>
  <c r="F89" i="19" s="1"/>
  <c r="AR13" i="8"/>
  <c r="F70" i="19" s="1"/>
  <c r="AJ13" i="8"/>
  <c r="AG13" i="8"/>
  <c r="AE13" i="8"/>
  <c r="F51" i="19" s="1"/>
  <c r="W13" i="8"/>
  <c r="T13" i="8"/>
  <c r="R13" i="8"/>
  <c r="F32" i="19" s="1"/>
  <c r="U32" i="19" s="1"/>
  <c r="AD32" i="19" s="1"/>
  <c r="J13" i="8"/>
  <c r="G13" i="8"/>
  <c r="E13" i="8"/>
  <c r="F13" i="19" s="1"/>
  <c r="U13" i="19" s="1"/>
  <c r="AD13" i="19" s="1"/>
  <c r="BR12" i="8"/>
  <c r="F107" i="19" s="1"/>
  <c r="U107" i="19" s="1"/>
  <c r="AD107" i="19" s="1"/>
  <c r="BE12" i="8"/>
  <c r="F88" i="19" s="1"/>
  <c r="AR12" i="8"/>
  <c r="F69" i="19" s="1"/>
  <c r="U69" i="19" s="1"/>
  <c r="AD69" i="19" s="1"/>
  <c r="AJ12" i="8"/>
  <c r="AG12" i="8"/>
  <c r="AE12" i="8"/>
  <c r="F50" i="19" s="1"/>
  <c r="W12" i="8"/>
  <c r="T12" i="8"/>
  <c r="R12" i="8"/>
  <c r="F31" i="19" s="1"/>
  <c r="J12" i="8"/>
  <c r="G12" i="8"/>
  <c r="E12" i="8"/>
  <c r="F12" i="19" s="1"/>
  <c r="U12" i="19" s="1"/>
  <c r="AD12" i="19" s="1"/>
  <c r="BR11" i="8"/>
  <c r="F106" i="19" s="1"/>
  <c r="BE11" i="8"/>
  <c r="F87" i="19" s="1"/>
  <c r="AR11" i="8"/>
  <c r="F68" i="19" s="1"/>
  <c r="AJ11" i="8"/>
  <c r="AG11" i="8"/>
  <c r="AE11" i="8"/>
  <c r="F49" i="19" s="1"/>
  <c r="W11" i="8"/>
  <c r="T11" i="8"/>
  <c r="R11" i="8"/>
  <c r="F30" i="19" s="1"/>
  <c r="J11" i="8"/>
  <c r="G11" i="8"/>
  <c r="E11" i="8"/>
  <c r="F11" i="19" s="1"/>
  <c r="U11" i="19" s="1"/>
  <c r="AD11" i="19" s="1"/>
  <c r="BR10" i="8"/>
  <c r="F105" i="19" s="1"/>
  <c r="BE10" i="8"/>
  <c r="F86" i="19" s="1"/>
  <c r="AR10" i="8"/>
  <c r="F67" i="19" s="1"/>
  <c r="AJ10" i="8"/>
  <c r="AG10" i="8"/>
  <c r="AE10" i="8"/>
  <c r="F48" i="19" s="1"/>
  <c r="W10" i="8"/>
  <c r="T10" i="8"/>
  <c r="R10" i="8"/>
  <c r="F29" i="19" s="1"/>
  <c r="U29" i="19" s="1"/>
  <c r="AD29" i="19" s="1"/>
  <c r="J10" i="8"/>
  <c r="G10" i="8"/>
  <c r="E10" i="8"/>
  <c r="F10" i="19" s="1"/>
  <c r="U10" i="19" s="1"/>
  <c r="AD10" i="19" s="1"/>
  <c r="BR9" i="8"/>
  <c r="F104" i="19" s="1"/>
  <c r="BE9" i="8"/>
  <c r="F85" i="19" s="1"/>
  <c r="AR9" i="8"/>
  <c r="F66" i="19" s="1"/>
  <c r="AJ9" i="8"/>
  <c r="AG9" i="8"/>
  <c r="AE9" i="8"/>
  <c r="F47" i="19" s="1"/>
  <c r="W9" i="8"/>
  <c r="T9" i="8"/>
  <c r="R9" i="8"/>
  <c r="F28" i="19" s="1"/>
  <c r="J9" i="8"/>
  <c r="G9" i="8"/>
  <c r="E9" i="8"/>
  <c r="F9" i="19" s="1"/>
  <c r="U9" i="19" s="1"/>
  <c r="AD9" i="19" s="1"/>
  <c r="BR8" i="8"/>
  <c r="F103" i="19" s="1"/>
  <c r="BE8" i="8"/>
  <c r="F84" i="19" s="1"/>
  <c r="AR8" i="8"/>
  <c r="F65" i="19" s="1"/>
  <c r="U65" i="19" s="1"/>
  <c r="AD65" i="19" s="1"/>
  <c r="AJ8" i="8"/>
  <c r="AG8" i="8"/>
  <c r="AE8" i="8"/>
  <c r="F46" i="19" s="1"/>
  <c r="W8" i="8"/>
  <c r="T8" i="8"/>
  <c r="R8" i="8"/>
  <c r="F27" i="19" s="1"/>
  <c r="J8" i="8"/>
  <c r="G8" i="8"/>
  <c r="E8" i="8"/>
  <c r="F8" i="19" s="1"/>
  <c r="U8" i="19" s="1"/>
  <c r="AD8" i="19" s="1"/>
  <c r="BR7" i="8"/>
  <c r="F102" i="19" s="1"/>
  <c r="BE7" i="8"/>
  <c r="F83" i="19" s="1"/>
  <c r="AR7" i="8"/>
  <c r="F64" i="19" s="1"/>
  <c r="AJ7" i="8"/>
  <c r="AG7" i="8"/>
  <c r="AE7" i="8"/>
  <c r="F45" i="19" s="1"/>
  <c r="W7" i="8"/>
  <c r="T7" i="8"/>
  <c r="R7" i="8"/>
  <c r="F26" i="19" s="1"/>
  <c r="J7" i="8"/>
  <c r="G7" i="8"/>
  <c r="E7" i="8"/>
  <c r="F7" i="19" s="1"/>
  <c r="U7" i="19" s="1"/>
  <c r="AD7" i="19" s="1"/>
  <c r="BR6" i="8"/>
  <c r="F101" i="19" s="1"/>
  <c r="BE6" i="8"/>
  <c r="F82" i="19" s="1"/>
  <c r="AR6" i="8"/>
  <c r="F63" i="19" s="1"/>
  <c r="AJ6" i="8"/>
  <c r="AG6" i="8"/>
  <c r="AE6" i="8"/>
  <c r="F44" i="19" s="1"/>
  <c r="U44" i="19" s="1"/>
  <c r="AD44" i="19" s="1"/>
  <c r="W6" i="8"/>
  <c r="T6" i="8"/>
  <c r="R6" i="8"/>
  <c r="F25" i="19" s="1"/>
  <c r="U25" i="19" s="1"/>
  <c r="AD25" i="19" s="1"/>
  <c r="J6" i="8"/>
  <c r="G6" i="8"/>
  <c r="E6" i="8"/>
  <c r="F6" i="19" s="1"/>
  <c r="U6" i="19" s="1"/>
  <c r="AD6" i="19" s="1"/>
  <c r="BR5" i="8"/>
  <c r="F100" i="19" s="1"/>
  <c r="F114" i="19" s="1"/>
  <c r="BE5" i="8"/>
  <c r="F81" i="19" s="1"/>
  <c r="F95" i="19" s="1"/>
  <c r="AR5" i="8"/>
  <c r="F62" i="19" s="1"/>
  <c r="F76" i="19" s="1"/>
  <c r="AA7" i="23" s="1"/>
  <c r="AJ5" i="8"/>
  <c r="AJ19" i="8" s="1"/>
  <c r="AG5" i="8"/>
  <c r="AG19" i="8" s="1"/>
  <c r="AE5" i="8"/>
  <c r="F43" i="19" s="1"/>
  <c r="F57" i="19" s="1"/>
  <c r="S7" i="23" s="1"/>
  <c r="W5" i="8"/>
  <c r="W19" i="8" s="1"/>
  <c r="T5" i="8"/>
  <c r="T19" i="8" s="1"/>
  <c r="R5" i="8"/>
  <c r="F24" i="19" s="1"/>
  <c r="F38" i="19" s="1"/>
  <c r="K7" i="23" s="1"/>
  <c r="J5" i="8"/>
  <c r="J19" i="8" s="1"/>
  <c r="G5" i="8"/>
  <c r="G19" i="8" s="1"/>
  <c r="E5" i="8"/>
  <c r="F5" i="19" s="1"/>
  <c r="AV289" i="7"/>
  <c r="AN289" i="7"/>
  <c r="AF289" i="7"/>
  <c r="X289" i="7"/>
  <c r="P289" i="7"/>
  <c r="H289" i="7"/>
  <c r="D289" i="7"/>
  <c r="E288" i="13" s="1"/>
  <c r="I289" i="7"/>
  <c r="K289" i="7" s="1"/>
  <c r="Q289" i="7" s="1"/>
  <c r="S289" i="7" s="1"/>
  <c r="Y289" i="7" s="1"/>
  <c r="AA289" i="7" s="1"/>
  <c r="AG289" i="7" s="1"/>
  <c r="AI289" i="7" s="1"/>
  <c r="AO289" i="7" s="1"/>
  <c r="AQ289" i="7" s="1"/>
  <c r="AW289" i="7" s="1"/>
  <c r="AV288" i="7"/>
  <c r="AN288" i="7"/>
  <c r="AF288" i="7"/>
  <c r="X288" i="7"/>
  <c r="P288" i="7"/>
  <c r="H288" i="7"/>
  <c r="D288" i="7"/>
  <c r="E287" i="13" s="1"/>
  <c r="I288" i="7"/>
  <c r="K288" i="7" s="1"/>
  <c r="Q288" i="7" s="1"/>
  <c r="S288" i="7" s="1"/>
  <c r="Y288" i="7" s="1"/>
  <c r="AA288" i="7" s="1"/>
  <c r="AG288" i="7" s="1"/>
  <c r="AI288" i="7" s="1"/>
  <c r="AO288" i="7" s="1"/>
  <c r="AQ288" i="7" s="1"/>
  <c r="AW288" i="7" s="1"/>
  <c r="AV287" i="7"/>
  <c r="AN287" i="7"/>
  <c r="AF287" i="7"/>
  <c r="X287" i="7"/>
  <c r="P287" i="7"/>
  <c r="H287" i="7"/>
  <c r="D287" i="7"/>
  <c r="E286" i="13" s="1"/>
  <c r="I287" i="7"/>
  <c r="K287" i="7" s="1"/>
  <c r="Q287" i="7" s="1"/>
  <c r="S287" i="7" s="1"/>
  <c r="Y287" i="7" s="1"/>
  <c r="AA287" i="7" s="1"/>
  <c r="AG287" i="7" s="1"/>
  <c r="AI287" i="7" s="1"/>
  <c r="AO287" i="7" s="1"/>
  <c r="AQ287" i="7" s="1"/>
  <c r="AW287" i="7" s="1"/>
  <c r="AV286" i="7"/>
  <c r="AN286" i="7"/>
  <c r="AF286" i="7"/>
  <c r="X286" i="7"/>
  <c r="P286" i="7"/>
  <c r="H286" i="7"/>
  <c r="D286" i="7"/>
  <c r="E285" i="13" s="1"/>
  <c r="I286" i="7"/>
  <c r="K286" i="7" s="1"/>
  <c r="Q286" i="7" s="1"/>
  <c r="S286" i="7" s="1"/>
  <c r="Y286" i="7" s="1"/>
  <c r="AA286" i="7" s="1"/>
  <c r="AG286" i="7" s="1"/>
  <c r="AI286" i="7" s="1"/>
  <c r="AO286" i="7" s="1"/>
  <c r="AQ286" i="7" s="1"/>
  <c r="AW286" i="7" s="1"/>
  <c r="AV285" i="7"/>
  <c r="AN285" i="7"/>
  <c r="AF285" i="7"/>
  <c r="X285" i="7"/>
  <c r="P285" i="7"/>
  <c r="H285" i="7"/>
  <c r="D285" i="7"/>
  <c r="E284" i="13" s="1"/>
  <c r="I285" i="7"/>
  <c r="K285" i="7" s="1"/>
  <c r="Q285" i="7" s="1"/>
  <c r="S285" i="7" s="1"/>
  <c r="Y285" i="7" s="1"/>
  <c r="AA285" i="7" s="1"/>
  <c r="AG285" i="7" s="1"/>
  <c r="AI285" i="7" s="1"/>
  <c r="AO285" i="7" s="1"/>
  <c r="AQ285" i="7" s="1"/>
  <c r="AW285" i="7" s="1"/>
  <c r="AV284" i="7"/>
  <c r="AN284" i="7"/>
  <c r="AF284" i="7"/>
  <c r="X284" i="7"/>
  <c r="P284" i="7"/>
  <c r="H284" i="7"/>
  <c r="D284" i="7"/>
  <c r="E283" i="13" s="1"/>
  <c r="I284" i="7"/>
  <c r="K284" i="7" s="1"/>
  <c r="Q284" i="7" s="1"/>
  <c r="S284" i="7" s="1"/>
  <c r="Y284" i="7" s="1"/>
  <c r="AA284" i="7" s="1"/>
  <c r="AG284" i="7" s="1"/>
  <c r="AI284" i="7" s="1"/>
  <c r="AO284" i="7" s="1"/>
  <c r="AQ284" i="7" s="1"/>
  <c r="AW284" i="7" s="1"/>
  <c r="AV283" i="7"/>
  <c r="AN283" i="7"/>
  <c r="AF283" i="7"/>
  <c r="X283" i="7"/>
  <c r="V283" i="7"/>
  <c r="V282" i="13" s="1"/>
  <c r="P283" i="7"/>
  <c r="H283" i="7"/>
  <c r="D283" i="7"/>
  <c r="E282" i="13" s="1"/>
  <c r="I283" i="7"/>
  <c r="K283" i="7" s="1"/>
  <c r="Q283" i="7" s="1"/>
  <c r="S283" i="7" s="1"/>
  <c r="Y283" i="7" s="1"/>
  <c r="AA283" i="7" s="1"/>
  <c r="AG283" i="7" s="1"/>
  <c r="AI283" i="7" s="1"/>
  <c r="AO283" i="7" s="1"/>
  <c r="AQ283" i="7" s="1"/>
  <c r="AW283" i="7" s="1"/>
  <c r="AV282" i="7"/>
  <c r="AN282" i="7"/>
  <c r="AF282" i="7"/>
  <c r="X282" i="7"/>
  <c r="V282" i="7"/>
  <c r="V281" i="13" s="1"/>
  <c r="P282" i="7"/>
  <c r="H282" i="7"/>
  <c r="F282" i="7"/>
  <c r="F281" i="13" s="1"/>
  <c r="I282" i="7"/>
  <c r="K282" i="7" s="1"/>
  <c r="Q282" i="7" s="1"/>
  <c r="S282" i="7" s="1"/>
  <c r="Y282" i="7" s="1"/>
  <c r="AA282" i="7" s="1"/>
  <c r="AG282" i="7" s="1"/>
  <c r="AI282" i="7" s="1"/>
  <c r="AO282" i="7" s="1"/>
  <c r="AQ282" i="7" s="1"/>
  <c r="AW282" i="7" s="1"/>
  <c r="AV281" i="7"/>
  <c r="AN281" i="7"/>
  <c r="AF281" i="7"/>
  <c r="X281" i="7"/>
  <c r="P281" i="7"/>
  <c r="H281" i="7"/>
  <c r="I281" i="7"/>
  <c r="K281" i="7" s="1"/>
  <c r="Q281" i="7" s="1"/>
  <c r="S281" i="7" s="1"/>
  <c r="Y281" i="7" s="1"/>
  <c r="AA281" i="7" s="1"/>
  <c r="AG281" i="7" s="1"/>
  <c r="AI281" i="7" s="1"/>
  <c r="AO281" i="7" s="1"/>
  <c r="AQ281" i="7" s="1"/>
  <c r="AW281" i="7" s="1"/>
  <c r="AV280" i="7"/>
  <c r="AN280" i="7"/>
  <c r="AL280" i="7"/>
  <c r="AL279" i="13" s="1"/>
  <c r="AF280" i="7"/>
  <c r="X280" i="7"/>
  <c r="V280" i="7"/>
  <c r="V279" i="13" s="1"/>
  <c r="P280" i="7"/>
  <c r="H280" i="7"/>
  <c r="F280" i="7"/>
  <c r="F279" i="13" s="1"/>
  <c r="I280" i="7"/>
  <c r="K280" i="7" s="1"/>
  <c r="Q280" i="7" s="1"/>
  <c r="S280" i="7" s="1"/>
  <c r="Y280" i="7" s="1"/>
  <c r="AA280" i="7" s="1"/>
  <c r="AG280" i="7" s="1"/>
  <c r="AI280" i="7" s="1"/>
  <c r="AO280" i="7" s="1"/>
  <c r="AQ280" i="7" s="1"/>
  <c r="AW280" i="7" s="1"/>
  <c r="AV279" i="7"/>
  <c r="AN279" i="7"/>
  <c r="AL279" i="7"/>
  <c r="AL278" i="13" s="1"/>
  <c r="AF279" i="7"/>
  <c r="X279" i="7"/>
  <c r="V279" i="7"/>
  <c r="V278" i="13" s="1"/>
  <c r="P279" i="7"/>
  <c r="H279" i="7"/>
  <c r="F279" i="7"/>
  <c r="F278" i="13" s="1"/>
  <c r="I279" i="7"/>
  <c r="K279" i="7" s="1"/>
  <c r="Q279" i="7" s="1"/>
  <c r="S279" i="7" s="1"/>
  <c r="Y279" i="7" s="1"/>
  <c r="AA279" i="7" s="1"/>
  <c r="AG279" i="7" s="1"/>
  <c r="AI279" i="7" s="1"/>
  <c r="AO279" i="7" s="1"/>
  <c r="AQ279" i="7" s="1"/>
  <c r="AW279" i="7" s="1"/>
  <c r="AV278" i="7"/>
  <c r="AN278" i="7"/>
  <c r="AL278" i="7"/>
  <c r="AL277" i="13" s="1"/>
  <c r="AF278" i="7"/>
  <c r="X278" i="7"/>
  <c r="V278" i="7"/>
  <c r="V277" i="13" s="1"/>
  <c r="P278" i="7"/>
  <c r="H278" i="7"/>
  <c r="F278" i="7"/>
  <c r="F277" i="13" s="1"/>
  <c r="I278" i="7"/>
  <c r="K278" i="7" s="1"/>
  <c r="Q278" i="7" s="1"/>
  <c r="S278" i="7" s="1"/>
  <c r="Y278" i="7" s="1"/>
  <c r="AA278" i="7" s="1"/>
  <c r="AG278" i="7" s="1"/>
  <c r="AI278" i="7" s="1"/>
  <c r="AO278" i="7" s="1"/>
  <c r="AQ278" i="7" s="1"/>
  <c r="AW278" i="7" s="1"/>
  <c r="AV277" i="7"/>
  <c r="AN277" i="7"/>
  <c r="AF277" i="7"/>
  <c r="X277" i="7"/>
  <c r="P277" i="7"/>
  <c r="H277" i="7"/>
  <c r="I277" i="7"/>
  <c r="K277" i="7" s="1"/>
  <c r="Q277" i="7" s="1"/>
  <c r="S277" i="7" s="1"/>
  <c r="Y277" i="7" s="1"/>
  <c r="AA277" i="7" s="1"/>
  <c r="AG277" i="7" s="1"/>
  <c r="AI277" i="7" s="1"/>
  <c r="AO277" i="7" s="1"/>
  <c r="AQ277" i="7" s="1"/>
  <c r="AW277" i="7" s="1"/>
  <c r="AV276" i="7"/>
  <c r="AN276" i="7"/>
  <c r="AL276" i="7"/>
  <c r="AL275" i="13" s="1"/>
  <c r="AF276" i="7"/>
  <c r="X276" i="7"/>
  <c r="V276" i="7"/>
  <c r="V275" i="13" s="1"/>
  <c r="P276" i="7"/>
  <c r="H276" i="7"/>
  <c r="F276" i="7"/>
  <c r="F275" i="13" s="1"/>
  <c r="I276" i="7"/>
  <c r="K276" i="7" s="1"/>
  <c r="Q276" i="7" s="1"/>
  <c r="S276" i="7" s="1"/>
  <c r="Y276" i="7" s="1"/>
  <c r="AA276" i="7" s="1"/>
  <c r="AG276" i="7" s="1"/>
  <c r="AI276" i="7" s="1"/>
  <c r="AO276" i="7" s="1"/>
  <c r="AQ276" i="7" s="1"/>
  <c r="AW276" i="7" s="1"/>
  <c r="AV275" i="7"/>
  <c r="AN275" i="7"/>
  <c r="AL275" i="7"/>
  <c r="AL274" i="13" s="1"/>
  <c r="AF275" i="7"/>
  <c r="X275" i="7"/>
  <c r="V275" i="7"/>
  <c r="V274" i="13" s="1"/>
  <c r="P275" i="7"/>
  <c r="H275" i="7"/>
  <c r="F275" i="7"/>
  <c r="F274" i="13" s="1"/>
  <c r="I275" i="7"/>
  <c r="K275" i="7" s="1"/>
  <c r="Q275" i="7" s="1"/>
  <c r="S275" i="7" s="1"/>
  <c r="Y275" i="7" s="1"/>
  <c r="AA275" i="7" s="1"/>
  <c r="AG275" i="7" s="1"/>
  <c r="AI275" i="7" s="1"/>
  <c r="AO275" i="7" s="1"/>
  <c r="AQ275" i="7" s="1"/>
  <c r="AW275" i="7" s="1"/>
  <c r="AV274" i="7"/>
  <c r="AT274" i="7"/>
  <c r="AT273" i="13" s="1"/>
  <c r="AN274" i="7"/>
  <c r="AL274" i="7"/>
  <c r="AL273" i="13" s="1"/>
  <c r="AF274" i="7"/>
  <c r="AD274" i="7"/>
  <c r="AD273" i="13" s="1"/>
  <c r="X274" i="7"/>
  <c r="V274" i="7"/>
  <c r="V273" i="13" s="1"/>
  <c r="P274" i="7"/>
  <c r="N274" i="7"/>
  <c r="N273" i="13" s="1"/>
  <c r="H274" i="7"/>
  <c r="F274" i="7"/>
  <c r="F273" i="13" s="1"/>
  <c r="I274" i="7"/>
  <c r="K274" i="7" s="1"/>
  <c r="Q274" i="7" s="1"/>
  <c r="S274" i="7" s="1"/>
  <c r="Y274" i="7" s="1"/>
  <c r="AA274" i="7" s="1"/>
  <c r="AG274" i="7" s="1"/>
  <c r="AI274" i="7" s="1"/>
  <c r="AO274" i="7" s="1"/>
  <c r="AQ274" i="7" s="1"/>
  <c r="AW274" i="7" s="1"/>
  <c r="AV273" i="7"/>
  <c r="AV290" i="7" s="1"/>
  <c r="AS290" i="7"/>
  <c r="AN273" i="7"/>
  <c r="AN290" i="7" s="1"/>
  <c r="AK290" i="7"/>
  <c r="AF273" i="7"/>
  <c r="AF290" i="7" s="1"/>
  <c r="AC290" i="7"/>
  <c r="X273" i="7"/>
  <c r="X290" i="7" s="1"/>
  <c r="U290" i="7"/>
  <c r="P273" i="7"/>
  <c r="P290" i="7" s="1"/>
  <c r="M290" i="7"/>
  <c r="H273" i="7"/>
  <c r="H290" i="7" s="1"/>
  <c r="E290" i="7"/>
  <c r="I273" i="7"/>
  <c r="AV270" i="7"/>
  <c r="AN270" i="7"/>
  <c r="AF270" i="7"/>
  <c r="X270" i="7"/>
  <c r="P270" i="7"/>
  <c r="H270" i="7"/>
  <c r="I270" i="7"/>
  <c r="K270" i="7" s="1"/>
  <c r="Q270" i="7" s="1"/>
  <c r="S270" i="7" s="1"/>
  <c r="Y270" i="7" s="1"/>
  <c r="AA270" i="7" s="1"/>
  <c r="AG270" i="7" s="1"/>
  <c r="AI270" i="7" s="1"/>
  <c r="AO270" i="7" s="1"/>
  <c r="AQ270" i="7" s="1"/>
  <c r="AW270" i="7" s="1"/>
  <c r="AV269" i="7"/>
  <c r="AN269" i="7"/>
  <c r="AF269" i="7"/>
  <c r="X269" i="7"/>
  <c r="P269" i="7"/>
  <c r="H269" i="7"/>
  <c r="I269" i="7"/>
  <c r="K269" i="7" s="1"/>
  <c r="Q269" i="7" s="1"/>
  <c r="S269" i="7" s="1"/>
  <c r="Y269" i="7" s="1"/>
  <c r="AA269" i="7" s="1"/>
  <c r="AG269" i="7" s="1"/>
  <c r="AI269" i="7" s="1"/>
  <c r="AO269" i="7" s="1"/>
  <c r="AQ269" i="7" s="1"/>
  <c r="AW269" i="7" s="1"/>
  <c r="AV268" i="7"/>
  <c r="AN268" i="7"/>
  <c r="AF268" i="7"/>
  <c r="X268" i="7"/>
  <c r="P268" i="7"/>
  <c r="H268" i="7"/>
  <c r="AV267" i="7"/>
  <c r="AN267" i="7"/>
  <c r="AF267" i="7"/>
  <c r="X267" i="7"/>
  <c r="P267" i="7"/>
  <c r="H267" i="7"/>
  <c r="I267" i="7"/>
  <c r="K267" i="7" s="1"/>
  <c r="Q267" i="7" s="1"/>
  <c r="S267" i="7" s="1"/>
  <c r="Y267" i="7" s="1"/>
  <c r="AA267" i="7" s="1"/>
  <c r="AG267" i="7" s="1"/>
  <c r="AI267" i="7" s="1"/>
  <c r="AO267" i="7" s="1"/>
  <c r="AQ267" i="7" s="1"/>
  <c r="AW267" i="7" s="1"/>
  <c r="AV266" i="7"/>
  <c r="AN266" i="7"/>
  <c r="AF266" i="7"/>
  <c r="X266" i="7"/>
  <c r="P266" i="7"/>
  <c r="H266" i="7"/>
  <c r="I266" i="7"/>
  <c r="K266" i="7" s="1"/>
  <c r="Q266" i="7" s="1"/>
  <c r="S266" i="7" s="1"/>
  <c r="Y266" i="7" s="1"/>
  <c r="AA266" i="7" s="1"/>
  <c r="AG266" i="7" s="1"/>
  <c r="AI266" i="7" s="1"/>
  <c r="AO266" i="7" s="1"/>
  <c r="AQ266" i="7" s="1"/>
  <c r="AW266" i="7" s="1"/>
  <c r="AV265" i="7"/>
  <c r="AN265" i="7"/>
  <c r="AF265" i="7"/>
  <c r="X265" i="7"/>
  <c r="P265" i="7"/>
  <c r="H265" i="7"/>
  <c r="I265" i="7"/>
  <c r="K265" i="7" s="1"/>
  <c r="Q265" i="7" s="1"/>
  <c r="S265" i="7" s="1"/>
  <c r="Y265" i="7" s="1"/>
  <c r="AA265" i="7" s="1"/>
  <c r="AG265" i="7" s="1"/>
  <c r="AI265" i="7" s="1"/>
  <c r="AO265" i="7" s="1"/>
  <c r="AQ265" i="7" s="1"/>
  <c r="AW265" i="7" s="1"/>
  <c r="AV264" i="7"/>
  <c r="AN264" i="7"/>
  <c r="AF264" i="7"/>
  <c r="X264" i="7"/>
  <c r="P264" i="7"/>
  <c r="H264" i="7"/>
  <c r="AV263" i="7"/>
  <c r="AN263" i="7"/>
  <c r="AF263" i="7"/>
  <c r="X263" i="7"/>
  <c r="P263" i="7"/>
  <c r="H263" i="7"/>
  <c r="I263" i="7"/>
  <c r="K263" i="7" s="1"/>
  <c r="Q263" i="7" s="1"/>
  <c r="S263" i="7" s="1"/>
  <c r="Y263" i="7" s="1"/>
  <c r="AA263" i="7" s="1"/>
  <c r="AG263" i="7" s="1"/>
  <c r="AI263" i="7" s="1"/>
  <c r="AO263" i="7" s="1"/>
  <c r="AQ263" i="7" s="1"/>
  <c r="AW263" i="7" s="1"/>
  <c r="AV262" i="7"/>
  <c r="AN262" i="7"/>
  <c r="AL262" i="7"/>
  <c r="AL261" i="13" s="1"/>
  <c r="AF262" i="7"/>
  <c r="X262" i="7"/>
  <c r="V262" i="7"/>
  <c r="V261" i="13" s="1"/>
  <c r="P262" i="7"/>
  <c r="H262" i="7"/>
  <c r="I262" i="7"/>
  <c r="K262" i="7" s="1"/>
  <c r="Q262" i="7" s="1"/>
  <c r="S262" i="7" s="1"/>
  <c r="Y262" i="7" s="1"/>
  <c r="AA262" i="7" s="1"/>
  <c r="AG262" i="7" s="1"/>
  <c r="AI262" i="7" s="1"/>
  <c r="AO262" i="7" s="1"/>
  <c r="AQ262" i="7" s="1"/>
  <c r="AW262" i="7" s="1"/>
  <c r="AV261" i="7"/>
  <c r="AN261" i="7"/>
  <c r="AF261" i="7"/>
  <c r="X261" i="7"/>
  <c r="P261" i="7"/>
  <c r="H261" i="7"/>
  <c r="I261" i="7"/>
  <c r="K261" i="7" s="1"/>
  <c r="Q261" i="7" s="1"/>
  <c r="S261" i="7" s="1"/>
  <c r="Y261" i="7" s="1"/>
  <c r="AA261" i="7" s="1"/>
  <c r="AG261" i="7" s="1"/>
  <c r="AI261" i="7" s="1"/>
  <c r="AO261" i="7" s="1"/>
  <c r="AQ261" i="7" s="1"/>
  <c r="AW261" i="7" s="1"/>
  <c r="AV260" i="7"/>
  <c r="AN260" i="7"/>
  <c r="AL260" i="7"/>
  <c r="AL259" i="13" s="1"/>
  <c r="AF260" i="7"/>
  <c r="X260" i="7"/>
  <c r="V260" i="7"/>
  <c r="V259" i="13" s="1"/>
  <c r="P260" i="7"/>
  <c r="H260" i="7"/>
  <c r="F260" i="7"/>
  <c r="AV259" i="7"/>
  <c r="AN259" i="7"/>
  <c r="AF259" i="7"/>
  <c r="X259" i="7"/>
  <c r="P259" i="7"/>
  <c r="H259" i="7"/>
  <c r="F259" i="7"/>
  <c r="F258" i="13" s="1"/>
  <c r="I259" i="7"/>
  <c r="K259" i="7" s="1"/>
  <c r="Q259" i="7" s="1"/>
  <c r="S259" i="7" s="1"/>
  <c r="Y259" i="7" s="1"/>
  <c r="AA259" i="7" s="1"/>
  <c r="AG259" i="7" s="1"/>
  <c r="AI259" i="7" s="1"/>
  <c r="AO259" i="7" s="1"/>
  <c r="AQ259" i="7" s="1"/>
  <c r="AW259" i="7" s="1"/>
  <c r="AV258" i="7"/>
  <c r="AN258" i="7"/>
  <c r="AF258" i="7"/>
  <c r="X258" i="7"/>
  <c r="P258" i="7"/>
  <c r="H258" i="7"/>
  <c r="I258" i="7"/>
  <c r="K258" i="7" s="1"/>
  <c r="Q258" i="7" s="1"/>
  <c r="S258" i="7" s="1"/>
  <c r="Y258" i="7" s="1"/>
  <c r="AA258" i="7" s="1"/>
  <c r="AG258" i="7" s="1"/>
  <c r="AI258" i="7" s="1"/>
  <c r="AO258" i="7" s="1"/>
  <c r="AQ258" i="7" s="1"/>
  <c r="AW258" i="7" s="1"/>
  <c r="AV257" i="7"/>
  <c r="AN257" i="7"/>
  <c r="AF257" i="7"/>
  <c r="X257" i="7"/>
  <c r="P257" i="7"/>
  <c r="I257" i="7"/>
  <c r="K257" i="7" s="1"/>
  <c r="Q257" i="7" s="1"/>
  <c r="S257" i="7" s="1"/>
  <c r="Y257" i="7" s="1"/>
  <c r="AA257" i="7" s="1"/>
  <c r="AG257" i="7" s="1"/>
  <c r="AI257" i="7" s="1"/>
  <c r="AO257" i="7" s="1"/>
  <c r="AQ257" i="7" s="1"/>
  <c r="AW257" i="7" s="1"/>
  <c r="H257" i="7"/>
  <c r="AV256" i="7"/>
  <c r="AN256" i="7"/>
  <c r="AF256" i="7"/>
  <c r="X256" i="7"/>
  <c r="P256" i="7"/>
  <c r="H256" i="7"/>
  <c r="I256" i="7"/>
  <c r="K256" i="7" s="1"/>
  <c r="Q256" i="7" s="1"/>
  <c r="S256" i="7" s="1"/>
  <c r="Y256" i="7" s="1"/>
  <c r="AA256" i="7" s="1"/>
  <c r="AG256" i="7" s="1"/>
  <c r="AI256" i="7" s="1"/>
  <c r="AO256" i="7" s="1"/>
  <c r="AQ256" i="7" s="1"/>
  <c r="AW256" i="7" s="1"/>
  <c r="AV255" i="7"/>
  <c r="AN255" i="7"/>
  <c r="AF255" i="7"/>
  <c r="X255" i="7"/>
  <c r="P255" i="7"/>
  <c r="I255" i="7"/>
  <c r="K255" i="7" s="1"/>
  <c r="Q255" i="7" s="1"/>
  <c r="S255" i="7" s="1"/>
  <c r="Y255" i="7" s="1"/>
  <c r="AA255" i="7" s="1"/>
  <c r="AG255" i="7" s="1"/>
  <c r="AI255" i="7" s="1"/>
  <c r="AO255" i="7" s="1"/>
  <c r="AQ255" i="7" s="1"/>
  <c r="AW255" i="7" s="1"/>
  <c r="H255" i="7"/>
  <c r="AV254" i="7"/>
  <c r="AV271" i="7" s="1"/>
  <c r="AU271" i="7"/>
  <c r="AS271" i="7"/>
  <c r="AN254" i="7"/>
  <c r="AN271" i="7" s="1"/>
  <c r="AM271" i="7"/>
  <c r="AK271" i="7"/>
  <c r="AL258" i="7" s="1"/>
  <c r="AL257" i="13" s="1"/>
  <c r="AF254" i="7"/>
  <c r="AF271" i="7" s="1"/>
  <c r="AE271" i="7"/>
  <c r="AC271" i="7"/>
  <c r="X254" i="7"/>
  <c r="X271" i="7" s="1"/>
  <c r="W271" i="7"/>
  <c r="U271" i="7"/>
  <c r="V258" i="7" s="1"/>
  <c r="V257" i="13" s="1"/>
  <c r="P254" i="7"/>
  <c r="P271" i="7" s="1"/>
  <c r="O271" i="7"/>
  <c r="M271" i="7"/>
  <c r="H254" i="7"/>
  <c r="H271" i="7" s="1"/>
  <c r="G271" i="7"/>
  <c r="E271" i="7"/>
  <c r="F258" i="7" s="1"/>
  <c r="AV251" i="7"/>
  <c r="AN251" i="7"/>
  <c r="AF251" i="7"/>
  <c r="X251" i="7"/>
  <c r="P251" i="7"/>
  <c r="H251" i="7"/>
  <c r="AV250" i="7"/>
  <c r="AN250" i="7"/>
  <c r="AF250" i="7"/>
  <c r="X250" i="7"/>
  <c r="P250" i="7"/>
  <c r="H250" i="7"/>
  <c r="I250" i="7"/>
  <c r="K250" i="7" s="1"/>
  <c r="Q250" i="7" s="1"/>
  <c r="S250" i="7" s="1"/>
  <c r="Y250" i="7" s="1"/>
  <c r="AA250" i="7" s="1"/>
  <c r="AG250" i="7" s="1"/>
  <c r="AI250" i="7" s="1"/>
  <c r="AO250" i="7" s="1"/>
  <c r="AQ250" i="7" s="1"/>
  <c r="AW250" i="7" s="1"/>
  <c r="AV249" i="7"/>
  <c r="AN249" i="7"/>
  <c r="AF249" i="7"/>
  <c r="X249" i="7"/>
  <c r="P249" i="7"/>
  <c r="H249" i="7"/>
  <c r="AV248" i="7"/>
  <c r="AN248" i="7"/>
  <c r="AF248" i="7"/>
  <c r="X248" i="7"/>
  <c r="P248" i="7"/>
  <c r="H248" i="7"/>
  <c r="I248" i="7"/>
  <c r="K248" i="7" s="1"/>
  <c r="Q248" i="7" s="1"/>
  <c r="S248" i="7" s="1"/>
  <c r="Y248" i="7" s="1"/>
  <c r="AA248" i="7" s="1"/>
  <c r="AG248" i="7" s="1"/>
  <c r="AI248" i="7" s="1"/>
  <c r="AO248" i="7" s="1"/>
  <c r="AQ248" i="7" s="1"/>
  <c r="AW248" i="7" s="1"/>
  <c r="AV247" i="7"/>
  <c r="AN247" i="7"/>
  <c r="AF247" i="7"/>
  <c r="X247" i="7"/>
  <c r="P247" i="7"/>
  <c r="H247" i="7"/>
  <c r="AV246" i="7"/>
  <c r="AN246" i="7"/>
  <c r="AF246" i="7"/>
  <c r="X246" i="7"/>
  <c r="P246" i="7"/>
  <c r="H246" i="7"/>
  <c r="I246" i="7"/>
  <c r="K246" i="7" s="1"/>
  <c r="Q246" i="7" s="1"/>
  <c r="S246" i="7" s="1"/>
  <c r="Y246" i="7" s="1"/>
  <c r="AA246" i="7" s="1"/>
  <c r="AG246" i="7" s="1"/>
  <c r="AI246" i="7" s="1"/>
  <c r="AO246" i="7" s="1"/>
  <c r="AQ246" i="7" s="1"/>
  <c r="AW246" i="7" s="1"/>
  <c r="AV245" i="7"/>
  <c r="AN245" i="7"/>
  <c r="AF245" i="7"/>
  <c r="X245" i="7"/>
  <c r="P245" i="7"/>
  <c r="H245" i="7"/>
  <c r="AV244" i="7"/>
  <c r="AN244" i="7"/>
  <c r="AF244" i="7"/>
  <c r="X244" i="7"/>
  <c r="P244" i="7"/>
  <c r="H244" i="7"/>
  <c r="I244" i="7"/>
  <c r="K244" i="7" s="1"/>
  <c r="Q244" i="7" s="1"/>
  <c r="S244" i="7" s="1"/>
  <c r="Y244" i="7" s="1"/>
  <c r="AA244" i="7" s="1"/>
  <c r="AG244" i="7" s="1"/>
  <c r="AI244" i="7" s="1"/>
  <c r="AO244" i="7" s="1"/>
  <c r="AQ244" i="7" s="1"/>
  <c r="AW244" i="7" s="1"/>
  <c r="AV243" i="7"/>
  <c r="AN243" i="7"/>
  <c r="AF243" i="7"/>
  <c r="X243" i="7"/>
  <c r="P243" i="7"/>
  <c r="H243" i="7"/>
  <c r="I243" i="7"/>
  <c r="K243" i="7" s="1"/>
  <c r="Q243" i="7" s="1"/>
  <c r="S243" i="7" s="1"/>
  <c r="Y243" i="7" s="1"/>
  <c r="AA243" i="7" s="1"/>
  <c r="AG243" i="7" s="1"/>
  <c r="AI243" i="7" s="1"/>
  <c r="AO243" i="7" s="1"/>
  <c r="AQ243" i="7" s="1"/>
  <c r="AW243" i="7" s="1"/>
  <c r="AV242" i="7"/>
  <c r="AN242" i="7"/>
  <c r="AF242" i="7"/>
  <c r="X242" i="7"/>
  <c r="P242" i="7"/>
  <c r="H242" i="7"/>
  <c r="I242" i="7"/>
  <c r="K242" i="7" s="1"/>
  <c r="Q242" i="7" s="1"/>
  <c r="S242" i="7" s="1"/>
  <c r="Y242" i="7" s="1"/>
  <c r="AA242" i="7" s="1"/>
  <c r="AG242" i="7" s="1"/>
  <c r="AI242" i="7" s="1"/>
  <c r="AO242" i="7" s="1"/>
  <c r="AQ242" i="7" s="1"/>
  <c r="AW242" i="7" s="1"/>
  <c r="AV241" i="7"/>
  <c r="AN241" i="7"/>
  <c r="AF241" i="7"/>
  <c r="X241" i="7"/>
  <c r="P241" i="7"/>
  <c r="H241" i="7"/>
  <c r="AV240" i="7"/>
  <c r="AN240" i="7"/>
  <c r="AF240" i="7"/>
  <c r="X240" i="7"/>
  <c r="P240" i="7"/>
  <c r="H240" i="7"/>
  <c r="AV239" i="7"/>
  <c r="AN239" i="7"/>
  <c r="AF239" i="7"/>
  <c r="X239" i="7"/>
  <c r="P239" i="7"/>
  <c r="H239" i="7"/>
  <c r="I239" i="7"/>
  <c r="K239" i="7" s="1"/>
  <c r="Q239" i="7" s="1"/>
  <c r="S239" i="7" s="1"/>
  <c r="Y239" i="7" s="1"/>
  <c r="AA239" i="7" s="1"/>
  <c r="AG239" i="7" s="1"/>
  <c r="AI239" i="7" s="1"/>
  <c r="AO239" i="7" s="1"/>
  <c r="AQ239" i="7" s="1"/>
  <c r="AW239" i="7" s="1"/>
  <c r="AV238" i="7"/>
  <c r="AN238" i="7"/>
  <c r="AF238" i="7"/>
  <c r="X238" i="7"/>
  <c r="P238" i="7"/>
  <c r="H238" i="7"/>
  <c r="I238" i="7"/>
  <c r="K238" i="7" s="1"/>
  <c r="Q238" i="7" s="1"/>
  <c r="S238" i="7" s="1"/>
  <c r="Y238" i="7" s="1"/>
  <c r="AA238" i="7" s="1"/>
  <c r="AG238" i="7" s="1"/>
  <c r="AI238" i="7" s="1"/>
  <c r="AO238" i="7" s="1"/>
  <c r="AQ238" i="7" s="1"/>
  <c r="AW238" i="7" s="1"/>
  <c r="AV237" i="7"/>
  <c r="AN237" i="7"/>
  <c r="AF237" i="7"/>
  <c r="X237" i="7"/>
  <c r="P237" i="7"/>
  <c r="H237" i="7"/>
  <c r="I237" i="7"/>
  <c r="K237" i="7" s="1"/>
  <c r="Q237" i="7" s="1"/>
  <c r="S237" i="7" s="1"/>
  <c r="Y237" i="7" s="1"/>
  <c r="AA237" i="7" s="1"/>
  <c r="AG237" i="7" s="1"/>
  <c r="AI237" i="7" s="1"/>
  <c r="AO237" i="7" s="1"/>
  <c r="AQ237" i="7" s="1"/>
  <c r="AW237" i="7" s="1"/>
  <c r="AV236" i="7"/>
  <c r="AN236" i="7"/>
  <c r="AF236" i="7"/>
  <c r="W252" i="7"/>
  <c r="P236" i="7"/>
  <c r="H236" i="7"/>
  <c r="AV235" i="7"/>
  <c r="AU252" i="7"/>
  <c r="AN235" i="7"/>
  <c r="AM252" i="7"/>
  <c r="AF235" i="7"/>
  <c r="AE252" i="7"/>
  <c r="X235" i="7"/>
  <c r="U252" i="7"/>
  <c r="P235" i="7"/>
  <c r="O252" i="7"/>
  <c r="H235" i="7"/>
  <c r="G252" i="7"/>
  <c r="I235" i="7"/>
  <c r="AV232" i="7"/>
  <c r="AN232" i="7"/>
  <c r="AF232" i="7"/>
  <c r="X232" i="7"/>
  <c r="P232" i="7"/>
  <c r="H232" i="7"/>
  <c r="I232" i="7"/>
  <c r="K232" i="7" s="1"/>
  <c r="Q232" i="7" s="1"/>
  <c r="S232" i="7" s="1"/>
  <c r="Y232" i="7" s="1"/>
  <c r="AA232" i="7" s="1"/>
  <c r="AG232" i="7" s="1"/>
  <c r="AI232" i="7" s="1"/>
  <c r="AO232" i="7" s="1"/>
  <c r="AQ232" i="7" s="1"/>
  <c r="AW232" i="7" s="1"/>
  <c r="AV231" i="7"/>
  <c r="AN231" i="7"/>
  <c r="AF231" i="7"/>
  <c r="X231" i="7"/>
  <c r="P231" i="7"/>
  <c r="H231" i="7"/>
  <c r="I231" i="7"/>
  <c r="K231" i="7" s="1"/>
  <c r="Q231" i="7" s="1"/>
  <c r="S231" i="7" s="1"/>
  <c r="Y231" i="7" s="1"/>
  <c r="AA231" i="7" s="1"/>
  <c r="AG231" i="7" s="1"/>
  <c r="AI231" i="7" s="1"/>
  <c r="AO231" i="7" s="1"/>
  <c r="AQ231" i="7" s="1"/>
  <c r="AW231" i="7" s="1"/>
  <c r="AV230" i="7"/>
  <c r="AN230" i="7"/>
  <c r="AF230" i="7"/>
  <c r="X230" i="7"/>
  <c r="V230" i="7"/>
  <c r="V229" i="13" s="1"/>
  <c r="P230" i="7"/>
  <c r="H230" i="7"/>
  <c r="AV229" i="7"/>
  <c r="AN229" i="7"/>
  <c r="AF229" i="7"/>
  <c r="X229" i="7"/>
  <c r="P229" i="7"/>
  <c r="H229" i="7"/>
  <c r="I229" i="7"/>
  <c r="K229" i="7" s="1"/>
  <c r="Q229" i="7" s="1"/>
  <c r="S229" i="7" s="1"/>
  <c r="Y229" i="7" s="1"/>
  <c r="AA229" i="7" s="1"/>
  <c r="AG229" i="7" s="1"/>
  <c r="AI229" i="7" s="1"/>
  <c r="AO229" i="7" s="1"/>
  <c r="AQ229" i="7" s="1"/>
  <c r="AW229" i="7" s="1"/>
  <c r="AV228" i="7"/>
  <c r="AN228" i="7"/>
  <c r="AL228" i="7"/>
  <c r="AL227" i="13" s="1"/>
  <c r="AF228" i="7"/>
  <c r="X228" i="7"/>
  <c r="V228" i="7"/>
  <c r="V227" i="13" s="1"/>
  <c r="P228" i="7"/>
  <c r="H228" i="7"/>
  <c r="I228" i="7"/>
  <c r="K228" i="7" s="1"/>
  <c r="Q228" i="7" s="1"/>
  <c r="S228" i="7" s="1"/>
  <c r="Y228" i="7" s="1"/>
  <c r="AA228" i="7" s="1"/>
  <c r="AG228" i="7" s="1"/>
  <c r="AI228" i="7" s="1"/>
  <c r="AO228" i="7" s="1"/>
  <c r="AQ228" i="7" s="1"/>
  <c r="AW228" i="7" s="1"/>
  <c r="AV227" i="7"/>
  <c r="AN227" i="7"/>
  <c r="AF227" i="7"/>
  <c r="X227" i="7"/>
  <c r="P227" i="7"/>
  <c r="H227" i="7"/>
  <c r="I227" i="7"/>
  <c r="K227" i="7" s="1"/>
  <c r="Q227" i="7" s="1"/>
  <c r="S227" i="7" s="1"/>
  <c r="Y227" i="7" s="1"/>
  <c r="AA227" i="7" s="1"/>
  <c r="AG227" i="7" s="1"/>
  <c r="AI227" i="7" s="1"/>
  <c r="AO227" i="7" s="1"/>
  <c r="AQ227" i="7" s="1"/>
  <c r="AW227" i="7" s="1"/>
  <c r="AV226" i="7"/>
  <c r="AN226" i="7"/>
  <c r="AL226" i="7"/>
  <c r="AL225" i="13" s="1"/>
  <c r="AF226" i="7"/>
  <c r="X226" i="7"/>
  <c r="V226" i="7"/>
  <c r="V225" i="13" s="1"/>
  <c r="P226" i="7"/>
  <c r="H226" i="7"/>
  <c r="F226" i="7"/>
  <c r="AV225" i="7"/>
  <c r="AN225" i="7"/>
  <c r="AF225" i="7"/>
  <c r="X225" i="7"/>
  <c r="P225" i="7"/>
  <c r="H225" i="7"/>
  <c r="I225" i="7"/>
  <c r="K225" i="7" s="1"/>
  <c r="Q225" i="7" s="1"/>
  <c r="S225" i="7" s="1"/>
  <c r="Y225" i="7" s="1"/>
  <c r="AA225" i="7" s="1"/>
  <c r="AG225" i="7" s="1"/>
  <c r="AI225" i="7" s="1"/>
  <c r="AO225" i="7" s="1"/>
  <c r="AQ225" i="7" s="1"/>
  <c r="AW225" i="7" s="1"/>
  <c r="AV224" i="7"/>
  <c r="AN224" i="7"/>
  <c r="AL224" i="7"/>
  <c r="AL223" i="13" s="1"/>
  <c r="AF224" i="7"/>
  <c r="X224" i="7"/>
  <c r="V224" i="7"/>
  <c r="V223" i="13" s="1"/>
  <c r="P224" i="7"/>
  <c r="H224" i="7"/>
  <c r="I224" i="7"/>
  <c r="K224" i="7" s="1"/>
  <c r="Q224" i="7" s="1"/>
  <c r="S224" i="7" s="1"/>
  <c r="Y224" i="7" s="1"/>
  <c r="AA224" i="7" s="1"/>
  <c r="AG224" i="7" s="1"/>
  <c r="AI224" i="7" s="1"/>
  <c r="AO224" i="7" s="1"/>
  <c r="AQ224" i="7" s="1"/>
  <c r="AW224" i="7" s="1"/>
  <c r="AV223" i="7"/>
  <c r="AN223" i="7"/>
  <c r="AF223" i="7"/>
  <c r="X223" i="7"/>
  <c r="P223" i="7"/>
  <c r="H223" i="7"/>
  <c r="I223" i="7"/>
  <c r="K223" i="7" s="1"/>
  <c r="Q223" i="7" s="1"/>
  <c r="S223" i="7" s="1"/>
  <c r="Y223" i="7" s="1"/>
  <c r="AA223" i="7" s="1"/>
  <c r="AG223" i="7" s="1"/>
  <c r="AI223" i="7" s="1"/>
  <c r="AO223" i="7" s="1"/>
  <c r="AQ223" i="7" s="1"/>
  <c r="AW223" i="7" s="1"/>
  <c r="AV222" i="7"/>
  <c r="AN222" i="7"/>
  <c r="AL222" i="7"/>
  <c r="AL221" i="13" s="1"/>
  <c r="AF222" i="7"/>
  <c r="X222" i="7"/>
  <c r="V222" i="7"/>
  <c r="V221" i="13" s="1"/>
  <c r="P222" i="7"/>
  <c r="H222" i="7"/>
  <c r="F222" i="7"/>
  <c r="AV221" i="7"/>
  <c r="AN221" i="7"/>
  <c r="AF221" i="7"/>
  <c r="X221" i="7"/>
  <c r="P221" i="7"/>
  <c r="H221" i="7"/>
  <c r="I221" i="7"/>
  <c r="K221" i="7" s="1"/>
  <c r="Q221" i="7" s="1"/>
  <c r="S221" i="7" s="1"/>
  <c r="Y221" i="7" s="1"/>
  <c r="AA221" i="7" s="1"/>
  <c r="AG221" i="7" s="1"/>
  <c r="AI221" i="7" s="1"/>
  <c r="AO221" i="7" s="1"/>
  <c r="AQ221" i="7" s="1"/>
  <c r="AW221" i="7" s="1"/>
  <c r="E220" i="13"/>
  <c r="AV220" i="7"/>
  <c r="AN220" i="7"/>
  <c r="AF220" i="7"/>
  <c r="X220" i="7"/>
  <c r="P220" i="7"/>
  <c r="H220" i="7"/>
  <c r="I220" i="7"/>
  <c r="K220" i="7" s="1"/>
  <c r="Q220" i="7" s="1"/>
  <c r="S220" i="7" s="1"/>
  <c r="Y220" i="7" s="1"/>
  <c r="AA220" i="7" s="1"/>
  <c r="AG220" i="7" s="1"/>
  <c r="AI220" i="7" s="1"/>
  <c r="AO220" i="7" s="1"/>
  <c r="AQ220" i="7" s="1"/>
  <c r="AW220" i="7" s="1"/>
  <c r="AV219" i="7"/>
  <c r="AN219" i="7"/>
  <c r="AL219" i="7"/>
  <c r="AL218" i="13" s="1"/>
  <c r="AF219" i="7"/>
  <c r="X219" i="7"/>
  <c r="V219" i="7"/>
  <c r="V218" i="13" s="1"/>
  <c r="P219" i="7"/>
  <c r="H219" i="7"/>
  <c r="I219" i="7"/>
  <c r="K219" i="7" s="1"/>
  <c r="Q219" i="7" s="1"/>
  <c r="S219" i="7" s="1"/>
  <c r="Y219" i="7" s="1"/>
  <c r="AA219" i="7" s="1"/>
  <c r="AG219" i="7" s="1"/>
  <c r="AI219" i="7" s="1"/>
  <c r="AO219" i="7" s="1"/>
  <c r="AQ219" i="7" s="1"/>
  <c r="AW219" i="7" s="1"/>
  <c r="AV218" i="7"/>
  <c r="AN218" i="7"/>
  <c r="AF218" i="7"/>
  <c r="X218" i="7"/>
  <c r="P218" i="7"/>
  <c r="H218" i="7"/>
  <c r="I218" i="7"/>
  <c r="K218" i="7" s="1"/>
  <c r="Q218" i="7" s="1"/>
  <c r="S218" i="7" s="1"/>
  <c r="Y218" i="7" s="1"/>
  <c r="AA218" i="7" s="1"/>
  <c r="AG218" i="7" s="1"/>
  <c r="AI218" i="7" s="1"/>
  <c r="AO218" i="7" s="1"/>
  <c r="AQ218" i="7" s="1"/>
  <c r="AW218" i="7" s="1"/>
  <c r="AV217" i="7"/>
  <c r="AN217" i="7"/>
  <c r="AL217" i="7"/>
  <c r="AL216" i="13" s="1"/>
  <c r="AF217" i="7"/>
  <c r="X217" i="7"/>
  <c r="V217" i="7"/>
  <c r="V216" i="13" s="1"/>
  <c r="P217" i="7"/>
  <c r="H217" i="7"/>
  <c r="F217" i="7"/>
  <c r="AV216" i="7"/>
  <c r="AV233" i="7" s="1"/>
  <c r="AU233" i="7"/>
  <c r="AS233" i="7"/>
  <c r="AN216" i="7"/>
  <c r="AM233" i="7"/>
  <c r="AK233" i="7"/>
  <c r="AF216" i="7"/>
  <c r="AF233" i="7" s="1"/>
  <c r="AE233" i="7"/>
  <c r="AC233" i="7"/>
  <c r="X216" i="7"/>
  <c r="X233" i="7" s="1"/>
  <c r="W233" i="7"/>
  <c r="U233" i="7"/>
  <c r="P216" i="7"/>
  <c r="P233" i="7" s="1"/>
  <c r="O233" i="7"/>
  <c r="M233" i="7"/>
  <c r="H216" i="7"/>
  <c r="G233" i="7"/>
  <c r="E233" i="7"/>
  <c r="I216" i="7"/>
  <c r="AV213" i="7"/>
  <c r="AN213" i="7"/>
  <c r="AL213" i="7"/>
  <c r="AL212" i="13" s="1"/>
  <c r="AF213" i="7"/>
  <c r="X213" i="7"/>
  <c r="V213" i="7"/>
  <c r="V212" i="13" s="1"/>
  <c r="P213" i="7"/>
  <c r="H213" i="7"/>
  <c r="I213" i="7"/>
  <c r="K213" i="7" s="1"/>
  <c r="Q213" i="7" s="1"/>
  <c r="S213" i="7" s="1"/>
  <c r="Y213" i="7" s="1"/>
  <c r="AA213" i="7" s="1"/>
  <c r="AG213" i="7" s="1"/>
  <c r="AI213" i="7" s="1"/>
  <c r="AO213" i="7" s="1"/>
  <c r="AQ213" i="7" s="1"/>
  <c r="AW213" i="7" s="1"/>
  <c r="AV212" i="7"/>
  <c r="AN212" i="7"/>
  <c r="AF212" i="7"/>
  <c r="X212" i="7"/>
  <c r="P212" i="7"/>
  <c r="H212" i="7"/>
  <c r="I212" i="7"/>
  <c r="K212" i="7" s="1"/>
  <c r="Q212" i="7" s="1"/>
  <c r="S212" i="7" s="1"/>
  <c r="Y212" i="7" s="1"/>
  <c r="AA212" i="7" s="1"/>
  <c r="AG212" i="7" s="1"/>
  <c r="AI212" i="7" s="1"/>
  <c r="AO212" i="7" s="1"/>
  <c r="AQ212" i="7" s="1"/>
  <c r="AW212" i="7" s="1"/>
  <c r="AV211" i="7"/>
  <c r="AN211" i="7"/>
  <c r="AL211" i="7"/>
  <c r="AL210" i="13" s="1"/>
  <c r="AF211" i="7"/>
  <c r="X211" i="7"/>
  <c r="V211" i="7"/>
  <c r="V210" i="13" s="1"/>
  <c r="P211" i="7"/>
  <c r="H211" i="7"/>
  <c r="F211" i="7"/>
  <c r="AV210" i="7"/>
  <c r="AN210" i="7"/>
  <c r="AF210" i="7"/>
  <c r="X210" i="7"/>
  <c r="P210" i="7"/>
  <c r="H210" i="7"/>
  <c r="I210" i="7"/>
  <c r="K210" i="7" s="1"/>
  <c r="Q210" i="7" s="1"/>
  <c r="S210" i="7" s="1"/>
  <c r="Y210" i="7" s="1"/>
  <c r="AA210" i="7" s="1"/>
  <c r="AG210" i="7" s="1"/>
  <c r="AI210" i="7" s="1"/>
  <c r="AO210" i="7" s="1"/>
  <c r="AQ210" i="7" s="1"/>
  <c r="AW210" i="7" s="1"/>
  <c r="AV209" i="7"/>
  <c r="AN209" i="7"/>
  <c r="AL209" i="7"/>
  <c r="AL208" i="13" s="1"/>
  <c r="AF209" i="7"/>
  <c r="X209" i="7"/>
  <c r="V209" i="7"/>
  <c r="V208" i="13" s="1"/>
  <c r="P209" i="7"/>
  <c r="H209" i="7"/>
  <c r="I209" i="7"/>
  <c r="K209" i="7" s="1"/>
  <c r="Q209" i="7" s="1"/>
  <c r="S209" i="7" s="1"/>
  <c r="Y209" i="7" s="1"/>
  <c r="AA209" i="7" s="1"/>
  <c r="AG209" i="7" s="1"/>
  <c r="AI209" i="7" s="1"/>
  <c r="AO209" i="7" s="1"/>
  <c r="AQ209" i="7" s="1"/>
  <c r="AW209" i="7" s="1"/>
  <c r="AV208" i="7"/>
  <c r="AN208" i="7"/>
  <c r="AF208" i="7"/>
  <c r="X208" i="7"/>
  <c r="P208" i="7"/>
  <c r="H208" i="7"/>
  <c r="I208" i="7"/>
  <c r="K208" i="7" s="1"/>
  <c r="Q208" i="7" s="1"/>
  <c r="S208" i="7" s="1"/>
  <c r="Y208" i="7" s="1"/>
  <c r="AA208" i="7" s="1"/>
  <c r="AG208" i="7" s="1"/>
  <c r="AI208" i="7" s="1"/>
  <c r="AO208" i="7" s="1"/>
  <c r="AQ208" i="7" s="1"/>
  <c r="AW208" i="7" s="1"/>
  <c r="AV207" i="7"/>
  <c r="AN207" i="7"/>
  <c r="AL207" i="7"/>
  <c r="AL206" i="13" s="1"/>
  <c r="AF207" i="7"/>
  <c r="X207" i="7"/>
  <c r="V207" i="7"/>
  <c r="V206" i="13" s="1"/>
  <c r="P207" i="7"/>
  <c r="H207" i="7"/>
  <c r="F207" i="7"/>
  <c r="AV206" i="7"/>
  <c r="AN206" i="7"/>
  <c r="AF206" i="7"/>
  <c r="X206" i="7"/>
  <c r="P206" i="7"/>
  <c r="H206" i="7"/>
  <c r="I206" i="7"/>
  <c r="K206" i="7" s="1"/>
  <c r="Q206" i="7" s="1"/>
  <c r="S206" i="7" s="1"/>
  <c r="Y206" i="7" s="1"/>
  <c r="AA206" i="7" s="1"/>
  <c r="AG206" i="7" s="1"/>
  <c r="AI206" i="7" s="1"/>
  <c r="AO206" i="7" s="1"/>
  <c r="AQ206" i="7" s="1"/>
  <c r="AW206" i="7" s="1"/>
  <c r="AV205" i="7"/>
  <c r="AN205" i="7"/>
  <c r="AL205" i="7"/>
  <c r="AL204" i="13" s="1"/>
  <c r="AF205" i="7"/>
  <c r="X205" i="7"/>
  <c r="V205" i="7"/>
  <c r="V204" i="13" s="1"/>
  <c r="P205" i="7"/>
  <c r="H205" i="7"/>
  <c r="I205" i="7"/>
  <c r="K205" i="7" s="1"/>
  <c r="Q205" i="7" s="1"/>
  <c r="S205" i="7" s="1"/>
  <c r="Y205" i="7" s="1"/>
  <c r="AA205" i="7" s="1"/>
  <c r="AG205" i="7" s="1"/>
  <c r="AI205" i="7" s="1"/>
  <c r="AO205" i="7" s="1"/>
  <c r="AQ205" i="7" s="1"/>
  <c r="AW205" i="7" s="1"/>
  <c r="AV204" i="7"/>
  <c r="AN204" i="7"/>
  <c r="AF204" i="7"/>
  <c r="X204" i="7"/>
  <c r="P204" i="7"/>
  <c r="H204" i="7"/>
  <c r="I204" i="7"/>
  <c r="K204" i="7" s="1"/>
  <c r="Q204" i="7" s="1"/>
  <c r="S204" i="7" s="1"/>
  <c r="Y204" i="7" s="1"/>
  <c r="AA204" i="7" s="1"/>
  <c r="AG204" i="7" s="1"/>
  <c r="AI204" i="7" s="1"/>
  <c r="AO204" i="7" s="1"/>
  <c r="AQ204" i="7" s="1"/>
  <c r="AW204" i="7" s="1"/>
  <c r="AV203" i="7"/>
  <c r="AN203" i="7"/>
  <c r="AL203" i="7"/>
  <c r="AL202" i="13" s="1"/>
  <c r="AF203" i="7"/>
  <c r="X203" i="7"/>
  <c r="V203" i="7"/>
  <c r="V202" i="13" s="1"/>
  <c r="P203" i="7"/>
  <c r="H203" i="7"/>
  <c r="F203" i="7"/>
  <c r="AV202" i="7"/>
  <c r="AN202" i="7"/>
  <c r="AF202" i="7"/>
  <c r="X202" i="7"/>
  <c r="P202" i="7"/>
  <c r="H202" i="7"/>
  <c r="I202" i="7"/>
  <c r="K202" i="7" s="1"/>
  <c r="Q202" i="7" s="1"/>
  <c r="S202" i="7" s="1"/>
  <c r="Y202" i="7" s="1"/>
  <c r="AA202" i="7" s="1"/>
  <c r="AG202" i="7" s="1"/>
  <c r="AI202" i="7" s="1"/>
  <c r="AO202" i="7" s="1"/>
  <c r="AQ202" i="7" s="1"/>
  <c r="AW202" i="7" s="1"/>
  <c r="E201" i="13"/>
  <c r="AV201" i="7"/>
  <c r="AN201" i="7"/>
  <c r="AF201" i="7"/>
  <c r="X201" i="7"/>
  <c r="P201" i="7"/>
  <c r="H201" i="7"/>
  <c r="I201" i="7"/>
  <c r="K201" i="7" s="1"/>
  <c r="Q201" i="7" s="1"/>
  <c r="S201" i="7" s="1"/>
  <c r="Y201" i="7" s="1"/>
  <c r="AA201" i="7" s="1"/>
  <c r="AG201" i="7" s="1"/>
  <c r="AI201" i="7" s="1"/>
  <c r="AO201" i="7" s="1"/>
  <c r="AQ201" i="7" s="1"/>
  <c r="AW201" i="7" s="1"/>
  <c r="AV200" i="7"/>
  <c r="AN200" i="7"/>
  <c r="AL200" i="7"/>
  <c r="AL199" i="13" s="1"/>
  <c r="AF200" i="7"/>
  <c r="X200" i="7"/>
  <c r="V200" i="7"/>
  <c r="V199" i="13" s="1"/>
  <c r="P200" i="7"/>
  <c r="H200" i="7"/>
  <c r="I200" i="7"/>
  <c r="K200" i="7" s="1"/>
  <c r="Q200" i="7" s="1"/>
  <c r="S200" i="7" s="1"/>
  <c r="Y200" i="7" s="1"/>
  <c r="AA200" i="7" s="1"/>
  <c r="AG200" i="7" s="1"/>
  <c r="AI200" i="7" s="1"/>
  <c r="AO200" i="7" s="1"/>
  <c r="AQ200" i="7" s="1"/>
  <c r="AW200" i="7" s="1"/>
  <c r="AV199" i="7"/>
  <c r="AN199" i="7"/>
  <c r="AF199" i="7"/>
  <c r="X199" i="7"/>
  <c r="P199" i="7"/>
  <c r="H199" i="7"/>
  <c r="I199" i="7"/>
  <c r="K199" i="7" s="1"/>
  <c r="Q199" i="7" s="1"/>
  <c r="S199" i="7" s="1"/>
  <c r="Y199" i="7" s="1"/>
  <c r="AA199" i="7" s="1"/>
  <c r="AG199" i="7" s="1"/>
  <c r="AI199" i="7" s="1"/>
  <c r="AO199" i="7" s="1"/>
  <c r="AQ199" i="7" s="1"/>
  <c r="AW199" i="7" s="1"/>
  <c r="AV198" i="7"/>
  <c r="AN198" i="7"/>
  <c r="AL198" i="7"/>
  <c r="AL197" i="13" s="1"/>
  <c r="AF198" i="7"/>
  <c r="X198" i="7"/>
  <c r="V198" i="7"/>
  <c r="V197" i="13" s="1"/>
  <c r="P198" i="7"/>
  <c r="H198" i="7"/>
  <c r="F198" i="7"/>
  <c r="AV197" i="7"/>
  <c r="AV214" i="7" s="1"/>
  <c r="AU214" i="7"/>
  <c r="AS214" i="7"/>
  <c r="AN197" i="7"/>
  <c r="AN214" i="7" s="1"/>
  <c r="AM214" i="7"/>
  <c r="AK214" i="7"/>
  <c r="AF197" i="7"/>
  <c r="AF214" i="7" s="1"/>
  <c r="AE214" i="7"/>
  <c r="AC214" i="7"/>
  <c r="X197" i="7"/>
  <c r="X214" i="7" s="1"/>
  <c r="W214" i="7"/>
  <c r="U214" i="7"/>
  <c r="P197" i="7"/>
  <c r="P214" i="7" s="1"/>
  <c r="O214" i="7"/>
  <c r="M214" i="7"/>
  <c r="H197" i="7"/>
  <c r="H214" i="7" s="1"/>
  <c r="G214" i="7"/>
  <c r="E214" i="7"/>
  <c r="I197" i="7"/>
  <c r="AV194" i="7"/>
  <c r="AN194" i="7"/>
  <c r="AL194" i="7"/>
  <c r="AL193" i="13" s="1"/>
  <c r="AF194" i="7"/>
  <c r="X194" i="7"/>
  <c r="V194" i="7"/>
  <c r="V193" i="13" s="1"/>
  <c r="P194" i="7"/>
  <c r="H194" i="7"/>
  <c r="I194" i="7"/>
  <c r="K194" i="7" s="1"/>
  <c r="Q194" i="7" s="1"/>
  <c r="S194" i="7" s="1"/>
  <c r="Y194" i="7" s="1"/>
  <c r="AA194" i="7" s="1"/>
  <c r="AG194" i="7" s="1"/>
  <c r="AI194" i="7" s="1"/>
  <c r="AO194" i="7" s="1"/>
  <c r="AQ194" i="7" s="1"/>
  <c r="AW194" i="7" s="1"/>
  <c r="AV193" i="7"/>
  <c r="AN193" i="7"/>
  <c r="AF193" i="7"/>
  <c r="X193" i="7"/>
  <c r="P193" i="7"/>
  <c r="H193" i="7"/>
  <c r="I193" i="7"/>
  <c r="K193" i="7" s="1"/>
  <c r="Q193" i="7" s="1"/>
  <c r="S193" i="7" s="1"/>
  <c r="Y193" i="7" s="1"/>
  <c r="AA193" i="7" s="1"/>
  <c r="AG193" i="7" s="1"/>
  <c r="AI193" i="7" s="1"/>
  <c r="AO193" i="7" s="1"/>
  <c r="AQ193" i="7" s="1"/>
  <c r="AW193" i="7" s="1"/>
  <c r="AV192" i="7"/>
  <c r="AN192" i="7"/>
  <c r="AL192" i="7"/>
  <c r="AL191" i="13" s="1"/>
  <c r="AF192" i="7"/>
  <c r="X192" i="7"/>
  <c r="V192" i="7"/>
  <c r="V191" i="13" s="1"/>
  <c r="P192" i="7"/>
  <c r="H192" i="7"/>
  <c r="F192" i="7"/>
  <c r="AV191" i="7"/>
  <c r="AN191" i="7"/>
  <c r="AF191" i="7"/>
  <c r="X191" i="7"/>
  <c r="P191" i="7"/>
  <c r="H191" i="7"/>
  <c r="I191" i="7"/>
  <c r="K191" i="7" s="1"/>
  <c r="Q191" i="7" s="1"/>
  <c r="S191" i="7" s="1"/>
  <c r="Y191" i="7" s="1"/>
  <c r="AA191" i="7" s="1"/>
  <c r="AG191" i="7" s="1"/>
  <c r="AI191" i="7" s="1"/>
  <c r="AO191" i="7" s="1"/>
  <c r="AQ191" i="7" s="1"/>
  <c r="AW191" i="7" s="1"/>
  <c r="AV190" i="7"/>
  <c r="AN190" i="7"/>
  <c r="AL190" i="7"/>
  <c r="AL189" i="13" s="1"/>
  <c r="AF190" i="7"/>
  <c r="X190" i="7"/>
  <c r="V190" i="7"/>
  <c r="V189" i="13" s="1"/>
  <c r="P190" i="7"/>
  <c r="H190" i="7"/>
  <c r="I190" i="7"/>
  <c r="K190" i="7" s="1"/>
  <c r="Q190" i="7" s="1"/>
  <c r="S190" i="7" s="1"/>
  <c r="Y190" i="7" s="1"/>
  <c r="AA190" i="7" s="1"/>
  <c r="AG190" i="7" s="1"/>
  <c r="AI190" i="7" s="1"/>
  <c r="AO190" i="7" s="1"/>
  <c r="AQ190" i="7" s="1"/>
  <c r="AW190" i="7" s="1"/>
  <c r="AV189" i="7"/>
  <c r="AN189" i="7"/>
  <c r="AF189" i="7"/>
  <c r="X189" i="7"/>
  <c r="P189" i="7"/>
  <c r="H189" i="7"/>
  <c r="I189" i="7"/>
  <c r="K189" i="7" s="1"/>
  <c r="Q189" i="7" s="1"/>
  <c r="S189" i="7" s="1"/>
  <c r="Y189" i="7" s="1"/>
  <c r="AA189" i="7" s="1"/>
  <c r="AG189" i="7" s="1"/>
  <c r="AI189" i="7" s="1"/>
  <c r="AO189" i="7" s="1"/>
  <c r="AQ189" i="7" s="1"/>
  <c r="AW189" i="7" s="1"/>
  <c r="AV188" i="7"/>
  <c r="AN188" i="7"/>
  <c r="AL188" i="7"/>
  <c r="AL187" i="13" s="1"/>
  <c r="AF188" i="7"/>
  <c r="X188" i="7"/>
  <c r="V188" i="7"/>
  <c r="V187" i="13" s="1"/>
  <c r="P188" i="7"/>
  <c r="H188" i="7"/>
  <c r="F188" i="7"/>
  <c r="AV187" i="7"/>
  <c r="AN187" i="7"/>
  <c r="AF187" i="7"/>
  <c r="X187" i="7"/>
  <c r="P187" i="7"/>
  <c r="H187" i="7"/>
  <c r="I187" i="7"/>
  <c r="K187" i="7" s="1"/>
  <c r="Q187" i="7" s="1"/>
  <c r="S187" i="7" s="1"/>
  <c r="Y187" i="7" s="1"/>
  <c r="AA187" i="7" s="1"/>
  <c r="AG187" i="7" s="1"/>
  <c r="AI187" i="7" s="1"/>
  <c r="AO187" i="7" s="1"/>
  <c r="AQ187" i="7" s="1"/>
  <c r="AW187" i="7" s="1"/>
  <c r="AV186" i="7"/>
  <c r="AN186" i="7"/>
  <c r="AL186" i="7"/>
  <c r="AL185" i="13" s="1"/>
  <c r="AF186" i="7"/>
  <c r="X186" i="7"/>
  <c r="V186" i="7"/>
  <c r="V185" i="13" s="1"/>
  <c r="P186" i="7"/>
  <c r="H186" i="7"/>
  <c r="I186" i="7"/>
  <c r="K186" i="7" s="1"/>
  <c r="Q186" i="7" s="1"/>
  <c r="S186" i="7" s="1"/>
  <c r="Y186" i="7" s="1"/>
  <c r="AA186" i="7" s="1"/>
  <c r="AG186" i="7" s="1"/>
  <c r="AI186" i="7" s="1"/>
  <c r="AO186" i="7" s="1"/>
  <c r="AQ186" i="7" s="1"/>
  <c r="AW186" i="7" s="1"/>
  <c r="AV185" i="7"/>
  <c r="AN185" i="7"/>
  <c r="AF185" i="7"/>
  <c r="X185" i="7"/>
  <c r="P185" i="7"/>
  <c r="H185" i="7"/>
  <c r="I185" i="7"/>
  <c r="K185" i="7" s="1"/>
  <c r="Q185" i="7" s="1"/>
  <c r="S185" i="7" s="1"/>
  <c r="Y185" i="7" s="1"/>
  <c r="AA185" i="7" s="1"/>
  <c r="AG185" i="7" s="1"/>
  <c r="AI185" i="7" s="1"/>
  <c r="AO185" i="7" s="1"/>
  <c r="AQ185" i="7" s="1"/>
  <c r="AW185" i="7" s="1"/>
  <c r="AV184" i="7"/>
  <c r="AN184" i="7"/>
  <c r="AL184" i="7"/>
  <c r="AL183" i="13" s="1"/>
  <c r="AF184" i="7"/>
  <c r="X184" i="7"/>
  <c r="V184" i="7"/>
  <c r="V183" i="13" s="1"/>
  <c r="P184" i="7"/>
  <c r="H184" i="7"/>
  <c r="F184" i="7"/>
  <c r="AV183" i="7"/>
  <c r="AN183" i="7"/>
  <c r="AF183" i="7"/>
  <c r="X183" i="7"/>
  <c r="P183" i="7"/>
  <c r="H183" i="7"/>
  <c r="I183" i="7"/>
  <c r="K183" i="7" s="1"/>
  <c r="Q183" i="7" s="1"/>
  <c r="S183" i="7" s="1"/>
  <c r="Y183" i="7" s="1"/>
  <c r="AA183" i="7" s="1"/>
  <c r="AG183" i="7" s="1"/>
  <c r="AI183" i="7" s="1"/>
  <c r="AO183" i="7" s="1"/>
  <c r="AQ183" i="7" s="1"/>
  <c r="AW183" i="7" s="1"/>
  <c r="AV182" i="7"/>
  <c r="AN182" i="7"/>
  <c r="AF182" i="7"/>
  <c r="X182" i="7"/>
  <c r="P182" i="7"/>
  <c r="H182" i="7"/>
  <c r="I182" i="7"/>
  <c r="K182" i="7" s="1"/>
  <c r="Q182" i="7" s="1"/>
  <c r="S182" i="7" s="1"/>
  <c r="Y182" i="7" s="1"/>
  <c r="AA182" i="7" s="1"/>
  <c r="AG182" i="7" s="1"/>
  <c r="AI182" i="7" s="1"/>
  <c r="AO182" i="7" s="1"/>
  <c r="AQ182" i="7" s="1"/>
  <c r="AW182" i="7" s="1"/>
  <c r="AV181" i="7"/>
  <c r="AN181" i="7"/>
  <c r="AL181" i="7"/>
  <c r="AL180" i="13" s="1"/>
  <c r="AF181" i="7"/>
  <c r="X181" i="7"/>
  <c r="V181" i="7"/>
  <c r="V180" i="13" s="1"/>
  <c r="P181" i="7"/>
  <c r="H181" i="7"/>
  <c r="I181" i="7"/>
  <c r="K181" i="7" s="1"/>
  <c r="Q181" i="7" s="1"/>
  <c r="S181" i="7" s="1"/>
  <c r="Y181" i="7" s="1"/>
  <c r="AA181" i="7" s="1"/>
  <c r="AG181" i="7" s="1"/>
  <c r="AI181" i="7" s="1"/>
  <c r="AO181" i="7" s="1"/>
  <c r="AQ181" i="7" s="1"/>
  <c r="AW181" i="7" s="1"/>
  <c r="AV180" i="7"/>
  <c r="AN180" i="7"/>
  <c r="AF180" i="7"/>
  <c r="X180" i="7"/>
  <c r="P180" i="7"/>
  <c r="H180" i="7"/>
  <c r="I180" i="7"/>
  <c r="K180" i="7" s="1"/>
  <c r="Q180" i="7" s="1"/>
  <c r="S180" i="7" s="1"/>
  <c r="Y180" i="7" s="1"/>
  <c r="AA180" i="7" s="1"/>
  <c r="AG180" i="7" s="1"/>
  <c r="AI180" i="7" s="1"/>
  <c r="AO180" i="7" s="1"/>
  <c r="AQ180" i="7" s="1"/>
  <c r="AW180" i="7" s="1"/>
  <c r="AV179" i="7"/>
  <c r="AN179" i="7"/>
  <c r="AL179" i="7"/>
  <c r="AL178" i="13" s="1"/>
  <c r="AF179" i="7"/>
  <c r="X179" i="7"/>
  <c r="V179" i="7"/>
  <c r="V178" i="13" s="1"/>
  <c r="P179" i="7"/>
  <c r="H179" i="7"/>
  <c r="F179" i="7"/>
  <c r="AV178" i="7"/>
  <c r="AV195" i="7" s="1"/>
  <c r="AU195" i="7"/>
  <c r="AS195" i="7"/>
  <c r="AN178" i="7"/>
  <c r="AM195" i="7"/>
  <c r="AK195" i="7"/>
  <c r="AF178" i="7"/>
  <c r="AF195" i="7" s="1"/>
  <c r="AE195" i="7"/>
  <c r="AC195" i="7"/>
  <c r="X178" i="7"/>
  <c r="X195" i="7" s="1"/>
  <c r="W195" i="7"/>
  <c r="U195" i="7"/>
  <c r="P178" i="7"/>
  <c r="P195" i="7" s="1"/>
  <c r="O195" i="7"/>
  <c r="M195" i="7"/>
  <c r="H178" i="7"/>
  <c r="G195" i="7"/>
  <c r="E195" i="7"/>
  <c r="I178" i="7"/>
  <c r="D176" i="7"/>
  <c r="A30" i="18" s="1"/>
  <c r="F30" i="18" s="1"/>
  <c r="AV175" i="7"/>
  <c r="AN175" i="7"/>
  <c r="AF175" i="7"/>
  <c r="X175" i="7"/>
  <c r="P175" i="7"/>
  <c r="H175" i="7"/>
  <c r="I175" i="7"/>
  <c r="K175" i="7" s="1"/>
  <c r="Q175" i="7" s="1"/>
  <c r="S175" i="7" s="1"/>
  <c r="Y175" i="7" s="1"/>
  <c r="AA175" i="7" s="1"/>
  <c r="AG175" i="7" s="1"/>
  <c r="AI175" i="7" s="1"/>
  <c r="AO175" i="7" s="1"/>
  <c r="AQ175" i="7" s="1"/>
  <c r="AW175" i="7" s="1"/>
  <c r="AV174" i="7"/>
  <c r="AN174" i="7"/>
  <c r="AF174" i="7"/>
  <c r="X174" i="7"/>
  <c r="P174" i="7"/>
  <c r="H174" i="7"/>
  <c r="I174" i="7"/>
  <c r="K174" i="7" s="1"/>
  <c r="Q174" i="7" s="1"/>
  <c r="S174" i="7" s="1"/>
  <c r="Y174" i="7" s="1"/>
  <c r="AA174" i="7" s="1"/>
  <c r="AG174" i="7" s="1"/>
  <c r="AI174" i="7" s="1"/>
  <c r="AO174" i="7" s="1"/>
  <c r="AQ174" i="7" s="1"/>
  <c r="AW174" i="7" s="1"/>
  <c r="AV173" i="7"/>
  <c r="AN173" i="7"/>
  <c r="AF173" i="7"/>
  <c r="X173" i="7"/>
  <c r="P173" i="7"/>
  <c r="H173" i="7"/>
  <c r="AV172" i="7"/>
  <c r="AN172" i="7"/>
  <c r="AF172" i="7"/>
  <c r="X172" i="7"/>
  <c r="P172" i="7"/>
  <c r="H172" i="7"/>
  <c r="I172" i="7"/>
  <c r="K172" i="7" s="1"/>
  <c r="Q172" i="7" s="1"/>
  <c r="S172" i="7" s="1"/>
  <c r="Y172" i="7" s="1"/>
  <c r="AA172" i="7" s="1"/>
  <c r="AG172" i="7" s="1"/>
  <c r="AI172" i="7" s="1"/>
  <c r="AO172" i="7" s="1"/>
  <c r="AQ172" i="7" s="1"/>
  <c r="AW172" i="7" s="1"/>
  <c r="AV171" i="7"/>
  <c r="AN171" i="7"/>
  <c r="AF171" i="7"/>
  <c r="X171" i="7"/>
  <c r="P171" i="7"/>
  <c r="H171" i="7"/>
  <c r="I171" i="7"/>
  <c r="K171" i="7" s="1"/>
  <c r="Q171" i="7" s="1"/>
  <c r="S171" i="7" s="1"/>
  <c r="Y171" i="7" s="1"/>
  <c r="AA171" i="7" s="1"/>
  <c r="AG171" i="7" s="1"/>
  <c r="AI171" i="7" s="1"/>
  <c r="AO171" i="7" s="1"/>
  <c r="AQ171" i="7" s="1"/>
  <c r="AW171" i="7" s="1"/>
  <c r="AV170" i="7"/>
  <c r="AN170" i="7"/>
  <c r="AF170" i="7"/>
  <c r="X170" i="7"/>
  <c r="P170" i="7"/>
  <c r="H170" i="7"/>
  <c r="I170" i="7"/>
  <c r="K170" i="7" s="1"/>
  <c r="Q170" i="7" s="1"/>
  <c r="S170" i="7" s="1"/>
  <c r="Y170" i="7" s="1"/>
  <c r="AA170" i="7" s="1"/>
  <c r="AG170" i="7" s="1"/>
  <c r="AI170" i="7" s="1"/>
  <c r="AO170" i="7" s="1"/>
  <c r="AQ170" i="7" s="1"/>
  <c r="AW170" i="7" s="1"/>
  <c r="AV169" i="7"/>
  <c r="AN169" i="7"/>
  <c r="AF169" i="7"/>
  <c r="X169" i="7"/>
  <c r="P169" i="7"/>
  <c r="H169" i="7"/>
  <c r="AV168" i="7"/>
  <c r="AN168" i="7"/>
  <c r="AF168" i="7"/>
  <c r="X168" i="7"/>
  <c r="P168" i="7"/>
  <c r="H168" i="7"/>
  <c r="I168" i="7"/>
  <c r="K168" i="7" s="1"/>
  <c r="Q168" i="7" s="1"/>
  <c r="S168" i="7" s="1"/>
  <c r="Y168" i="7" s="1"/>
  <c r="AA168" i="7" s="1"/>
  <c r="AG168" i="7" s="1"/>
  <c r="AI168" i="7" s="1"/>
  <c r="AO168" i="7" s="1"/>
  <c r="AQ168" i="7" s="1"/>
  <c r="AW168" i="7" s="1"/>
  <c r="AV167" i="7"/>
  <c r="AN167" i="7"/>
  <c r="AF167" i="7"/>
  <c r="X167" i="7"/>
  <c r="P167" i="7"/>
  <c r="H167" i="7"/>
  <c r="I167" i="7"/>
  <c r="K167" i="7" s="1"/>
  <c r="Q167" i="7" s="1"/>
  <c r="S167" i="7" s="1"/>
  <c r="Y167" i="7" s="1"/>
  <c r="AA167" i="7" s="1"/>
  <c r="AG167" i="7" s="1"/>
  <c r="AI167" i="7" s="1"/>
  <c r="AO167" i="7" s="1"/>
  <c r="AQ167" i="7" s="1"/>
  <c r="AW167" i="7" s="1"/>
  <c r="AV166" i="7"/>
  <c r="AN166" i="7"/>
  <c r="AF166" i="7"/>
  <c r="X166" i="7"/>
  <c r="P166" i="7"/>
  <c r="H166" i="7"/>
  <c r="I166" i="7"/>
  <c r="K166" i="7" s="1"/>
  <c r="Q166" i="7" s="1"/>
  <c r="S166" i="7" s="1"/>
  <c r="Y166" i="7" s="1"/>
  <c r="AA166" i="7" s="1"/>
  <c r="AG166" i="7" s="1"/>
  <c r="AI166" i="7" s="1"/>
  <c r="AO166" i="7" s="1"/>
  <c r="AQ166" i="7" s="1"/>
  <c r="AW166" i="7" s="1"/>
  <c r="AV165" i="7"/>
  <c r="AN165" i="7"/>
  <c r="AF165" i="7"/>
  <c r="X165" i="7"/>
  <c r="P165" i="7"/>
  <c r="H165" i="7"/>
  <c r="AV164" i="7"/>
  <c r="AN164" i="7"/>
  <c r="AF164" i="7"/>
  <c r="X164" i="7"/>
  <c r="P164" i="7"/>
  <c r="H164" i="7"/>
  <c r="I164" i="7"/>
  <c r="K164" i="7" s="1"/>
  <c r="Q164" i="7" s="1"/>
  <c r="S164" i="7" s="1"/>
  <c r="Y164" i="7" s="1"/>
  <c r="AA164" i="7" s="1"/>
  <c r="AG164" i="7" s="1"/>
  <c r="AI164" i="7" s="1"/>
  <c r="AO164" i="7" s="1"/>
  <c r="AQ164" i="7" s="1"/>
  <c r="AW164" i="7" s="1"/>
  <c r="AV163" i="7"/>
  <c r="AN163" i="7"/>
  <c r="AF163" i="7"/>
  <c r="X163" i="7"/>
  <c r="P163" i="7"/>
  <c r="H163" i="7"/>
  <c r="I163" i="7"/>
  <c r="K163" i="7" s="1"/>
  <c r="Q163" i="7" s="1"/>
  <c r="S163" i="7" s="1"/>
  <c r="Y163" i="7" s="1"/>
  <c r="AA163" i="7" s="1"/>
  <c r="AG163" i="7" s="1"/>
  <c r="AI163" i="7" s="1"/>
  <c r="AO163" i="7" s="1"/>
  <c r="AQ163" i="7" s="1"/>
  <c r="AW163" i="7" s="1"/>
  <c r="AV162" i="7"/>
  <c r="AN162" i="7"/>
  <c r="AF162" i="7"/>
  <c r="X162" i="7"/>
  <c r="P162" i="7"/>
  <c r="H162" i="7"/>
  <c r="I162" i="7"/>
  <c r="K162" i="7" s="1"/>
  <c r="Q162" i="7" s="1"/>
  <c r="S162" i="7" s="1"/>
  <c r="Y162" i="7" s="1"/>
  <c r="AA162" i="7" s="1"/>
  <c r="AG162" i="7" s="1"/>
  <c r="AI162" i="7" s="1"/>
  <c r="AO162" i="7" s="1"/>
  <c r="AQ162" i="7" s="1"/>
  <c r="AW162" i="7" s="1"/>
  <c r="AV161" i="7"/>
  <c r="AN161" i="7"/>
  <c r="AF161" i="7"/>
  <c r="X161" i="7"/>
  <c r="P161" i="7"/>
  <c r="H161" i="7"/>
  <c r="AV160" i="7"/>
  <c r="AN160" i="7"/>
  <c r="AF160" i="7"/>
  <c r="X160" i="7"/>
  <c r="P160" i="7"/>
  <c r="H160" i="7"/>
  <c r="I160" i="7"/>
  <c r="K160" i="7" s="1"/>
  <c r="Q160" i="7" s="1"/>
  <c r="S160" i="7" s="1"/>
  <c r="Y160" i="7" s="1"/>
  <c r="AA160" i="7" s="1"/>
  <c r="AG160" i="7" s="1"/>
  <c r="AI160" i="7" s="1"/>
  <c r="AO160" i="7" s="1"/>
  <c r="AQ160" i="7" s="1"/>
  <c r="AW160" i="7" s="1"/>
  <c r="AV159" i="7"/>
  <c r="AV176" i="7" s="1"/>
  <c r="AS176" i="7"/>
  <c r="AN159" i="7"/>
  <c r="AN176" i="7" s="1"/>
  <c r="AK176" i="7"/>
  <c r="AF159" i="7"/>
  <c r="AF176" i="7" s="1"/>
  <c r="AC176" i="7"/>
  <c r="X159" i="7"/>
  <c r="X176" i="7" s="1"/>
  <c r="U176" i="7"/>
  <c r="P159" i="7"/>
  <c r="P176" i="7" s="1"/>
  <c r="M176" i="7"/>
  <c r="H159" i="7"/>
  <c r="H176" i="7" s="1"/>
  <c r="E176" i="7"/>
  <c r="C176" i="7"/>
  <c r="D157" i="7"/>
  <c r="A29" i="18" s="1"/>
  <c r="F29" i="18" s="1"/>
  <c r="AV156" i="7"/>
  <c r="AN156" i="7"/>
  <c r="AF156" i="7"/>
  <c r="X156" i="7"/>
  <c r="P156" i="7"/>
  <c r="H156" i="7"/>
  <c r="I156" i="7"/>
  <c r="K156" i="7" s="1"/>
  <c r="Q156" i="7" s="1"/>
  <c r="S156" i="7" s="1"/>
  <c r="Y156" i="7" s="1"/>
  <c r="AA156" i="7" s="1"/>
  <c r="AG156" i="7" s="1"/>
  <c r="AI156" i="7" s="1"/>
  <c r="AO156" i="7" s="1"/>
  <c r="AQ156" i="7" s="1"/>
  <c r="AW156" i="7" s="1"/>
  <c r="AV155" i="7"/>
  <c r="AN155" i="7"/>
  <c r="AL155" i="7"/>
  <c r="AL154" i="13" s="1"/>
  <c r="AF155" i="7"/>
  <c r="X155" i="7"/>
  <c r="V155" i="7"/>
  <c r="V154" i="13" s="1"/>
  <c r="P155" i="7"/>
  <c r="H155" i="7"/>
  <c r="F155" i="7"/>
  <c r="AV154" i="7"/>
  <c r="AN154" i="7"/>
  <c r="AF154" i="7"/>
  <c r="X154" i="7"/>
  <c r="P154" i="7"/>
  <c r="H154" i="7"/>
  <c r="I154" i="7"/>
  <c r="K154" i="7" s="1"/>
  <c r="Q154" i="7" s="1"/>
  <c r="S154" i="7" s="1"/>
  <c r="Y154" i="7" s="1"/>
  <c r="AA154" i="7" s="1"/>
  <c r="AG154" i="7" s="1"/>
  <c r="AI154" i="7" s="1"/>
  <c r="AO154" i="7" s="1"/>
  <c r="AQ154" i="7" s="1"/>
  <c r="AW154" i="7" s="1"/>
  <c r="AV153" i="7"/>
  <c r="AN153" i="7"/>
  <c r="AL153" i="7"/>
  <c r="AL152" i="13" s="1"/>
  <c r="AF153" i="7"/>
  <c r="X153" i="7"/>
  <c r="V153" i="7"/>
  <c r="V152" i="13" s="1"/>
  <c r="P153" i="7"/>
  <c r="H153" i="7"/>
  <c r="I153" i="7"/>
  <c r="K153" i="7" s="1"/>
  <c r="Q153" i="7" s="1"/>
  <c r="S153" i="7" s="1"/>
  <c r="Y153" i="7" s="1"/>
  <c r="AA153" i="7" s="1"/>
  <c r="AG153" i="7" s="1"/>
  <c r="AI153" i="7" s="1"/>
  <c r="AO153" i="7" s="1"/>
  <c r="AQ153" i="7" s="1"/>
  <c r="AW153" i="7" s="1"/>
  <c r="AV152" i="7"/>
  <c r="AN152" i="7"/>
  <c r="AF152" i="7"/>
  <c r="X152" i="7"/>
  <c r="P152" i="7"/>
  <c r="H152" i="7"/>
  <c r="I152" i="7"/>
  <c r="K152" i="7" s="1"/>
  <c r="Q152" i="7" s="1"/>
  <c r="S152" i="7" s="1"/>
  <c r="Y152" i="7" s="1"/>
  <c r="AA152" i="7" s="1"/>
  <c r="AG152" i="7" s="1"/>
  <c r="AI152" i="7" s="1"/>
  <c r="AO152" i="7" s="1"/>
  <c r="AQ152" i="7" s="1"/>
  <c r="AW152" i="7" s="1"/>
  <c r="AV151" i="7"/>
  <c r="AN151" i="7"/>
  <c r="AL151" i="7"/>
  <c r="AL150" i="13" s="1"/>
  <c r="AF151" i="7"/>
  <c r="X151" i="7"/>
  <c r="V151" i="7"/>
  <c r="V150" i="13" s="1"/>
  <c r="P151" i="7"/>
  <c r="H151" i="7"/>
  <c r="F151" i="7"/>
  <c r="AV150" i="7"/>
  <c r="AN150" i="7"/>
  <c r="AF150" i="7"/>
  <c r="X150" i="7"/>
  <c r="P150" i="7"/>
  <c r="H150" i="7"/>
  <c r="I150" i="7"/>
  <c r="K150" i="7" s="1"/>
  <c r="Q150" i="7" s="1"/>
  <c r="S150" i="7" s="1"/>
  <c r="Y150" i="7" s="1"/>
  <c r="AA150" i="7" s="1"/>
  <c r="AG150" i="7" s="1"/>
  <c r="AI150" i="7" s="1"/>
  <c r="AO150" i="7" s="1"/>
  <c r="AQ150" i="7" s="1"/>
  <c r="AW150" i="7" s="1"/>
  <c r="AV149" i="7"/>
  <c r="AN149" i="7"/>
  <c r="AL149" i="7"/>
  <c r="AL148" i="13" s="1"/>
  <c r="AF149" i="7"/>
  <c r="X149" i="7"/>
  <c r="V149" i="7"/>
  <c r="V148" i="13" s="1"/>
  <c r="P149" i="7"/>
  <c r="H149" i="7"/>
  <c r="I149" i="7"/>
  <c r="K149" i="7" s="1"/>
  <c r="Q149" i="7" s="1"/>
  <c r="S149" i="7" s="1"/>
  <c r="Y149" i="7" s="1"/>
  <c r="AA149" i="7" s="1"/>
  <c r="AG149" i="7" s="1"/>
  <c r="AI149" i="7" s="1"/>
  <c r="AO149" i="7" s="1"/>
  <c r="AQ149" i="7" s="1"/>
  <c r="AW149" i="7" s="1"/>
  <c r="AV148" i="7"/>
  <c r="AN148" i="7"/>
  <c r="AF148" i="7"/>
  <c r="X148" i="7"/>
  <c r="P148" i="7"/>
  <c r="H148" i="7"/>
  <c r="I148" i="7"/>
  <c r="K148" i="7" s="1"/>
  <c r="Q148" i="7" s="1"/>
  <c r="S148" i="7" s="1"/>
  <c r="Y148" i="7" s="1"/>
  <c r="AA148" i="7" s="1"/>
  <c r="AG148" i="7" s="1"/>
  <c r="AI148" i="7" s="1"/>
  <c r="AO148" i="7" s="1"/>
  <c r="AQ148" i="7" s="1"/>
  <c r="AW148" i="7" s="1"/>
  <c r="AV147" i="7"/>
  <c r="AN147" i="7"/>
  <c r="AL147" i="7"/>
  <c r="AL146" i="13" s="1"/>
  <c r="AF147" i="7"/>
  <c r="X147" i="7"/>
  <c r="V147" i="7"/>
  <c r="V146" i="13" s="1"/>
  <c r="P147" i="7"/>
  <c r="H147" i="7"/>
  <c r="F147" i="7"/>
  <c r="AV146" i="7"/>
  <c r="AN146" i="7"/>
  <c r="AF146" i="7"/>
  <c r="X146" i="7"/>
  <c r="P146" i="7"/>
  <c r="H146" i="7"/>
  <c r="I146" i="7"/>
  <c r="K146" i="7" s="1"/>
  <c r="Q146" i="7" s="1"/>
  <c r="S146" i="7" s="1"/>
  <c r="Y146" i="7" s="1"/>
  <c r="AA146" i="7" s="1"/>
  <c r="AG146" i="7" s="1"/>
  <c r="AI146" i="7" s="1"/>
  <c r="AO146" i="7" s="1"/>
  <c r="AQ146" i="7" s="1"/>
  <c r="AW146" i="7" s="1"/>
  <c r="AV145" i="7"/>
  <c r="AN145" i="7"/>
  <c r="AL145" i="7"/>
  <c r="AL144" i="13" s="1"/>
  <c r="AF145" i="7"/>
  <c r="X145" i="7"/>
  <c r="V145" i="7"/>
  <c r="V144" i="13" s="1"/>
  <c r="P145" i="7"/>
  <c r="H145" i="7"/>
  <c r="I145" i="7"/>
  <c r="K145" i="7" s="1"/>
  <c r="Q145" i="7" s="1"/>
  <c r="S145" i="7" s="1"/>
  <c r="Y145" i="7" s="1"/>
  <c r="AA145" i="7" s="1"/>
  <c r="AG145" i="7" s="1"/>
  <c r="AI145" i="7" s="1"/>
  <c r="AO145" i="7" s="1"/>
  <c r="AQ145" i="7" s="1"/>
  <c r="AW145" i="7" s="1"/>
  <c r="AV144" i="7"/>
  <c r="AN144" i="7"/>
  <c r="AF144" i="7"/>
  <c r="X144" i="7"/>
  <c r="P144" i="7"/>
  <c r="H144" i="7"/>
  <c r="I144" i="7"/>
  <c r="K144" i="7" s="1"/>
  <c r="Q144" i="7" s="1"/>
  <c r="S144" i="7" s="1"/>
  <c r="Y144" i="7" s="1"/>
  <c r="AA144" i="7" s="1"/>
  <c r="AG144" i="7" s="1"/>
  <c r="AI144" i="7" s="1"/>
  <c r="AO144" i="7" s="1"/>
  <c r="AQ144" i="7" s="1"/>
  <c r="AW144" i="7" s="1"/>
  <c r="AV143" i="7"/>
  <c r="AN143" i="7"/>
  <c r="AL143" i="7"/>
  <c r="AL142" i="13" s="1"/>
  <c r="AF143" i="7"/>
  <c r="X143" i="7"/>
  <c r="V143" i="7"/>
  <c r="V142" i="13" s="1"/>
  <c r="P143" i="7"/>
  <c r="H143" i="7"/>
  <c r="F143" i="7"/>
  <c r="AV142" i="7"/>
  <c r="AN142" i="7"/>
  <c r="AF142" i="7"/>
  <c r="X142" i="7"/>
  <c r="P142" i="7"/>
  <c r="H142" i="7"/>
  <c r="I142" i="7"/>
  <c r="K142" i="7" s="1"/>
  <c r="Q142" i="7" s="1"/>
  <c r="S142" i="7" s="1"/>
  <c r="Y142" i="7" s="1"/>
  <c r="AA142" i="7" s="1"/>
  <c r="AG142" i="7" s="1"/>
  <c r="AI142" i="7" s="1"/>
  <c r="AO142" i="7" s="1"/>
  <c r="AQ142" i="7" s="1"/>
  <c r="AW142" i="7" s="1"/>
  <c r="AV141" i="7"/>
  <c r="AN141" i="7"/>
  <c r="AL141" i="7"/>
  <c r="AL140" i="13" s="1"/>
  <c r="AF141" i="7"/>
  <c r="X141" i="7"/>
  <c r="V141" i="7"/>
  <c r="V140" i="13" s="1"/>
  <c r="P141" i="7"/>
  <c r="H141" i="7"/>
  <c r="I141" i="7"/>
  <c r="K141" i="7" s="1"/>
  <c r="Q141" i="7" s="1"/>
  <c r="S141" i="7" s="1"/>
  <c r="Y141" i="7" s="1"/>
  <c r="AA141" i="7" s="1"/>
  <c r="AG141" i="7" s="1"/>
  <c r="AI141" i="7" s="1"/>
  <c r="AO141" i="7" s="1"/>
  <c r="AQ141" i="7" s="1"/>
  <c r="AW141" i="7" s="1"/>
  <c r="AV140" i="7"/>
  <c r="AV157" i="7" s="1"/>
  <c r="AU157" i="7"/>
  <c r="AS157" i="7"/>
  <c r="AN140" i="7"/>
  <c r="AN157" i="7" s="1"/>
  <c r="AM157" i="7"/>
  <c r="AK157" i="7"/>
  <c r="AF140" i="7"/>
  <c r="AF157" i="7" s="1"/>
  <c r="AE157" i="7"/>
  <c r="AC157" i="7"/>
  <c r="X140" i="7"/>
  <c r="X157" i="7" s="1"/>
  <c r="W157" i="7"/>
  <c r="U157" i="7"/>
  <c r="P140" i="7"/>
  <c r="P157" i="7" s="1"/>
  <c r="O157" i="7"/>
  <c r="M157" i="7"/>
  <c r="H140" i="7"/>
  <c r="H157" i="7" s="1"/>
  <c r="G157" i="7"/>
  <c r="E157" i="7"/>
  <c r="C157" i="7"/>
  <c r="F137" i="13"/>
  <c r="D138" i="7"/>
  <c r="AV137" i="7"/>
  <c r="AN137" i="7"/>
  <c r="AF137" i="7"/>
  <c r="X137" i="7"/>
  <c r="P137" i="7"/>
  <c r="H137" i="7"/>
  <c r="AV136" i="7"/>
  <c r="AN136" i="7"/>
  <c r="AF136" i="7"/>
  <c r="X136" i="7"/>
  <c r="P136" i="7"/>
  <c r="H136" i="7"/>
  <c r="I136" i="7"/>
  <c r="K136" i="7" s="1"/>
  <c r="Q136" i="7" s="1"/>
  <c r="S136" i="7" s="1"/>
  <c r="Y136" i="7" s="1"/>
  <c r="AA136" i="7" s="1"/>
  <c r="AG136" i="7" s="1"/>
  <c r="AI136" i="7" s="1"/>
  <c r="AO136" i="7" s="1"/>
  <c r="AQ136" i="7" s="1"/>
  <c r="AW136" i="7" s="1"/>
  <c r="AV135" i="7"/>
  <c r="AN135" i="7"/>
  <c r="AF135" i="7"/>
  <c r="X135" i="7"/>
  <c r="P135" i="7"/>
  <c r="H135" i="7"/>
  <c r="I135" i="7"/>
  <c r="K135" i="7" s="1"/>
  <c r="Q135" i="7" s="1"/>
  <c r="S135" i="7" s="1"/>
  <c r="Y135" i="7" s="1"/>
  <c r="AA135" i="7" s="1"/>
  <c r="AG135" i="7" s="1"/>
  <c r="AI135" i="7" s="1"/>
  <c r="AO135" i="7" s="1"/>
  <c r="AQ135" i="7" s="1"/>
  <c r="AW135" i="7" s="1"/>
  <c r="AV134" i="7"/>
  <c r="AN134" i="7"/>
  <c r="AF134" i="7"/>
  <c r="X134" i="7"/>
  <c r="P134" i="7"/>
  <c r="H134" i="7"/>
  <c r="I134" i="7"/>
  <c r="K134" i="7" s="1"/>
  <c r="Q134" i="7" s="1"/>
  <c r="S134" i="7" s="1"/>
  <c r="Y134" i="7" s="1"/>
  <c r="AA134" i="7" s="1"/>
  <c r="AG134" i="7" s="1"/>
  <c r="AI134" i="7" s="1"/>
  <c r="AO134" i="7" s="1"/>
  <c r="AQ134" i="7" s="1"/>
  <c r="AW134" i="7" s="1"/>
  <c r="AV133" i="7"/>
  <c r="AN133" i="7"/>
  <c r="AF133" i="7"/>
  <c r="X133" i="7"/>
  <c r="P133" i="7"/>
  <c r="H133" i="7"/>
  <c r="AV132" i="7"/>
  <c r="AN132" i="7"/>
  <c r="AF132" i="7"/>
  <c r="X132" i="7"/>
  <c r="P132" i="7"/>
  <c r="H132" i="7"/>
  <c r="I132" i="7"/>
  <c r="K132" i="7" s="1"/>
  <c r="Q132" i="7" s="1"/>
  <c r="S132" i="7" s="1"/>
  <c r="Y132" i="7" s="1"/>
  <c r="AA132" i="7" s="1"/>
  <c r="AG132" i="7" s="1"/>
  <c r="AI132" i="7" s="1"/>
  <c r="AO132" i="7" s="1"/>
  <c r="AQ132" i="7" s="1"/>
  <c r="AW132" i="7" s="1"/>
  <c r="AV131" i="7"/>
  <c r="AN131" i="7"/>
  <c r="AF131" i="7"/>
  <c r="X131" i="7"/>
  <c r="P131" i="7"/>
  <c r="H131" i="7"/>
  <c r="I131" i="7"/>
  <c r="K131" i="7" s="1"/>
  <c r="Q131" i="7" s="1"/>
  <c r="S131" i="7" s="1"/>
  <c r="Y131" i="7" s="1"/>
  <c r="AA131" i="7" s="1"/>
  <c r="AG131" i="7" s="1"/>
  <c r="AI131" i="7" s="1"/>
  <c r="AO131" i="7" s="1"/>
  <c r="AQ131" i="7" s="1"/>
  <c r="AW131" i="7" s="1"/>
  <c r="AV130" i="7"/>
  <c r="AN130" i="7"/>
  <c r="AF130" i="7"/>
  <c r="X130" i="7"/>
  <c r="P130" i="7"/>
  <c r="H130" i="7"/>
  <c r="I130" i="7"/>
  <c r="K130" i="7" s="1"/>
  <c r="Q130" i="7" s="1"/>
  <c r="S130" i="7" s="1"/>
  <c r="Y130" i="7" s="1"/>
  <c r="AA130" i="7" s="1"/>
  <c r="AG130" i="7" s="1"/>
  <c r="AI130" i="7" s="1"/>
  <c r="AO130" i="7" s="1"/>
  <c r="AQ130" i="7" s="1"/>
  <c r="AW130" i="7" s="1"/>
  <c r="AV129" i="7"/>
  <c r="AN129" i="7"/>
  <c r="AF129" i="7"/>
  <c r="X129" i="7"/>
  <c r="P129" i="7"/>
  <c r="H129" i="7"/>
  <c r="AV128" i="7"/>
  <c r="AN128" i="7"/>
  <c r="AF128" i="7"/>
  <c r="X128" i="7"/>
  <c r="P128" i="7"/>
  <c r="H128" i="7"/>
  <c r="I128" i="7"/>
  <c r="K128" i="7" s="1"/>
  <c r="Q128" i="7" s="1"/>
  <c r="S128" i="7" s="1"/>
  <c r="Y128" i="7" s="1"/>
  <c r="AA128" i="7" s="1"/>
  <c r="AG128" i="7" s="1"/>
  <c r="AI128" i="7" s="1"/>
  <c r="AO128" i="7" s="1"/>
  <c r="AQ128" i="7" s="1"/>
  <c r="AW128" i="7" s="1"/>
  <c r="AV127" i="7"/>
  <c r="AN127" i="7"/>
  <c r="AF127" i="7"/>
  <c r="X127" i="7"/>
  <c r="P127" i="7"/>
  <c r="H127" i="7"/>
  <c r="I127" i="7"/>
  <c r="K127" i="7" s="1"/>
  <c r="Q127" i="7" s="1"/>
  <c r="S127" i="7" s="1"/>
  <c r="Y127" i="7" s="1"/>
  <c r="AA127" i="7" s="1"/>
  <c r="AG127" i="7" s="1"/>
  <c r="AI127" i="7" s="1"/>
  <c r="AO127" i="7" s="1"/>
  <c r="AQ127" i="7" s="1"/>
  <c r="AW127" i="7" s="1"/>
  <c r="AV126" i="7"/>
  <c r="AN126" i="7"/>
  <c r="AF126" i="7"/>
  <c r="X126" i="7"/>
  <c r="P126" i="7"/>
  <c r="H126" i="7"/>
  <c r="I126" i="7"/>
  <c r="K126" i="7" s="1"/>
  <c r="Q126" i="7" s="1"/>
  <c r="S126" i="7" s="1"/>
  <c r="Y126" i="7" s="1"/>
  <c r="AA126" i="7" s="1"/>
  <c r="AG126" i="7" s="1"/>
  <c r="AI126" i="7" s="1"/>
  <c r="AO126" i="7" s="1"/>
  <c r="AQ126" i="7" s="1"/>
  <c r="AW126" i="7" s="1"/>
  <c r="AV125" i="7"/>
  <c r="AN125" i="7"/>
  <c r="AF125" i="7"/>
  <c r="X125" i="7"/>
  <c r="P125" i="7"/>
  <c r="H125" i="7"/>
  <c r="AV124" i="7"/>
  <c r="AN124" i="7"/>
  <c r="AF124" i="7"/>
  <c r="X124" i="7"/>
  <c r="P124" i="7"/>
  <c r="H124" i="7"/>
  <c r="I124" i="7"/>
  <c r="K124" i="7" s="1"/>
  <c r="Q124" i="7" s="1"/>
  <c r="S124" i="7" s="1"/>
  <c r="Y124" i="7" s="1"/>
  <c r="AA124" i="7" s="1"/>
  <c r="AG124" i="7" s="1"/>
  <c r="AI124" i="7" s="1"/>
  <c r="AO124" i="7" s="1"/>
  <c r="AQ124" i="7" s="1"/>
  <c r="AW124" i="7" s="1"/>
  <c r="AV123" i="7"/>
  <c r="AN123" i="7"/>
  <c r="AF123" i="7"/>
  <c r="X123" i="7"/>
  <c r="P123" i="7"/>
  <c r="H123" i="7"/>
  <c r="I123" i="7"/>
  <c r="K123" i="7" s="1"/>
  <c r="Q123" i="7" s="1"/>
  <c r="S123" i="7" s="1"/>
  <c r="Y123" i="7" s="1"/>
  <c r="AA123" i="7" s="1"/>
  <c r="AG123" i="7" s="1"/>
  <c r="AI123" i="7" s="1"/>
  <c r="AO123" i="7" s="1"/>
  <c r="AQ123" i="7" s="1"/>
  <c r="AW123" i="7" s="1"/>
  <c r="AV122" i="7"/>
  <c r="AN122" i="7"/>
  <c r="AF122" i="7"/>
  <c r="X122" i="7"/>
  <c r="P122" i="7"/>
  <c r="H122" i="7"/>
  <c r="I122" i="7"/>
  <c r="K122" i="7" s="1"/>
  <c r="Q122" i="7" s="1"/>
  <c r="S122" i="7" s="1"/>
  <c r="Y122" i="7" s="1"/>
  <c r="AA122" i="7" s="1"/>
  <c r="AG122" i="7" s="1"/>
  <c r="AI122" i="7" s="1"/>
  <c r="AO122" i="7" s="1"/>
  <c r="AQ122" i="7" s="1"/>
  <c r="AW122" i="7" s="1"/>
  <c r="AU138" i="7"/>
  <c r="AM138" i="7"/>
  <c r="AE138" i="7"/>
  <c r="W138" i="7"/>
  <c r="O138" i="7"/>
  <c r="G138" i="7"/>
  <c r="C138" i="7"/>
  <c r="F119" i="7"/>
  <c r="D119" i="7"/>
  <c r="H118" i="7"/>
  <c r="J118" i="7" s="1"/>
  <c r="I118" i="7"/>
  <c r="J117" i="7"/>
  <c r="H117" i="7"/>
  <c r="I117" i="7"/>
  <c r="H116" i="7"/>
  <c r="J116" i="7" s="1"/>
  <c r="I116" i="7"/>
  <c r="J115" i="7"/>
  <c r="H115" i="7"/>
  <c r="I115" i="7"/>
  <c r="H114" i="7"/>
  <c r="J114" i="7" s="1"/>
  <c r="I114" i="7"/>
  <c r="J113" i="7"/>
  <c r="H113" i="7"/>
  <c r="I113" i="7"/>
  <c r="H112" i="7"/>
  <c r="J112" i="7" s="1"/>
  <c r="I112" i="7"/>
  <c r="J111" i="7"/>
  <c r="H111" i="7"/>
  <c r="I111" i="7"/>
  <c r="H110" i="7"/>
  <c r="J110" i="7" s="1"/>
  <c r="I110" i="7"/>
  <c r="J109" i="7"/>
  <c r="H109" i="7"/>
  <c r="I109" i="7"/>
  <c r="H108" i="7"/>
  <c r="J108" i="7" s="1"/>
  <c r="I108" i="7"/>
  <c r="J107" i="7"/>
  <c r="H107" i="7"/>
  <c r="I107" i="7"/>
  <c r="H106" i="7"/>
  <c r="J106" i="7" s="1"/>
  <c r="I106" i="7"/>
  <c r="J105" i="7"/>
  <c r="H105" i="7"/>
  <c r="I105" i="7"/>
  <c r="H104" i="7"/>
  <c r="J104" i="7" s="1"/>
  <c r="I104" i="7"/>
  <c r="J103" i="7"/>
  <c r="H103" i="7"/>
  <c r="I103" i="7"/>
  <c r="H102" i="7"/>
  <c r="J102" i="7" s="1"/>
  <c r="G119" i="7"/>
  <c r="E119" i="7"/>
  <c r="I102" i="7"/>
  <c r="D100" i="7"/>
  <c r="A27" i="18" s="1"/>
  <c r="F27" i="18" s="1"/>
  <c r="AV99" i="7"/>
  <c r="AN99" i="7"/>
  <c r="AF99" i="7"/>
  <c r="X99" i="7"/>
  <c r="P99" i="7"/>
  <c r="H99" i="7"/>
  <c r="I99" i="7"/>
  <c r="K99" i="7" s="1"/>
  <c r="Q99" i="7" s="1"/>
  <c r="S99" i="7" s="1"/>
  <c r="Y99" i="7" s="1"/>
  <c r="AA99" i="7" s="1"/>
  <c r="AG99" i="7" s="1"/>
  <c r="AI99" i="7" s="1"/>
  <c r="AO99" i="7" s="1"/>
  <c r="AQ99" i="7" s="1"/>
  <c r="AW99" i="7" s="1"/>
  <c r="AV98" i="7"/>
  <c r="AN98" i="7"/>
  <c r="AL98" i="7"/>
  <c r="AL97" i="13" s="1"/>
  <c r="AF98" i="7"/>
  <c r="X98" i="7"/>
  <c r="V98" i="7"/>
  <c r="V97" i="13" s="1"/>
  <c r="P98" i="7"/>
  <c r="H98" i="7"/>
  <c r="F98" i="7"/>
  <c r="AV97" i="7"/>
  <c r="AN97" i="7"/>
  <c r="AF97" i="7"/>
  <c r="X97" i="7"/>
  <c r="P97" i="7"/>
  <c r="H97" i="7"/>
  <c r="I97" i="7"/>
  <c r="K97" i="7" s="1"/>
  <c r="Q97" i="7" s="1"/>
  <c r="S97" i="7" s="1"/>
  <c r="Y97" i="7" s="1"/>
  <c r="AA97" i="7" s="1"/>
  <c r="AG97" i="7" s="1"/>
  <c r="AI97" i="7" s="1"/>
  <c r="AO97" i="7" s="1"/>
  <c r="AQ97" i="7" s="1"/>
  <c r="AW97" i="7" s="1"/>
  <c r="AV96" i="7"/>
  <c r="AN96" i="7"/>
  <c r="AL96" i="7"/>
  <c r="AL95" i="13" s="1"/>
  <c r="AF96" i="7"/>
  <c r="X96" i="7"/>
  <c r="V96" i="7"/>
  <c r="V95" i="13" s="1"/>
  <c r="P96" i="7"/>
  <c r="H96" i="7"/>
  <c r="I96" i="7"/>
  <c r="K96" i="7" s="1"/>
  <c r="Q96" i="7" s="1"/>
  <c r="S96" i="7" s="1"/>
  <c r="Y96" i="7" s="1"/>
  <c r="AA96" i="7" s="1"/>
  <c r="AG96" i="7" s="1"/>
  <c r="AI96" i="7" s="1"/>
  <c r="AO96" i="7" s="1"/>
  <c r="AQ96" i="7" s="1"/>
  <c r="AW96" i="7" s="1"/>
  <c r="AV95" i="7"/>
  <c r="AN95" i="7"/>
  <c r="AF95" i="7"/>
  <c r="X95" i="7"/>
  <c r="P95" i="7"/>
  <c r="H95" i="7"/>
  <c r="I95" i="7"/>
  <c r="K95" i="7" s="1"/>
  <c r="Q95" i="7" s="1"/>
  <c r="S95" i="7" s="1"/>
  <c r="Y95" i="7" s="1"/>
  <c r="AA95" i="7" s="1"/>
  <c r="AG95" i="7" s="1"/>
  <c r="AI95" i="7" s="1"/>
  <c r="AO95" i="7" s="1"/>
  <c r="AQ95" i="7" s="1"/>
  <c r="AW95" i="7" s="1"/>
  <c r="AV94" i="7"/>
  <c r="AN94" i="7"/>
  <c r="AL94" i="7"/>
  <c r="AL93" i="13" s="1"/>
  <c r="AF94" i="7"/>
  <c r="X94" i="7"/>
  <c r="V94" i="7"/>
  <c r="V93" i="13" s="1"/>
  <c r="P94" i="7"/>
  <c r="H94" i="7"/>
  <c r="F94" i="7"/>
  <c r="AV93" i="7"/>
  <c r="AN93" i="7"/>
  <c r="AF93" i="7"/>
  <c r="X93" i="7"/>
  <c r="P93" i="7"/>
  <c r="H93" i="7"/>
  <c r="I93" i="7"/>
  <c r="K93" i="7" s="1"/>
  <c r="Q93" i="7" s="1"/>
  <c r="S93" i="7" s="1"/>
  <c r="Y93" i="7" s="1"/>
  <c r="AA93" i="7" s="1"/>
  <c r="AG93" i="7" s="1"/>
  <c r="AI93" i="7" s="1"/>
  <c r="AO93" i="7" s="1"/>
  <c r="AQ93" i="7" s="1"/>
  <c r="AW93" i="7" s="1"/>
  <c r="AV92" i="7"/>
  <c r="AN92" i="7"/>
  <c r="AL92" i="7"/>
  <c r="AL91" i="13" s="1"/>
  <c r="AF92" i="7"/>
  <c r="X92" i="7"/>
  <c r="V92" i="7"/>
  <c r="V91" i="13" s="1"/>
  <c r="P92" i="7"/>
  <c r="H92" i="7"/>
  <c r="I92" i="7"/>
  <c r="K92" i="7" s="1"/>
  <c r="Q92" i="7" s="1"/>
  <c r="S92" i="7" s="1"/>
  <c r="Y92" i="7" s="1"/>
  <c r="AA92" i="7" s="1"/>
  <c r="AG92" i="7" s="1"/>
  <c r="AI92" i="7" s="1"/>
  <c r="AO92" i="7" s="1"/>
  <c r="AQ92" i="7" s="1"/>
  <c r="AW92" i="7" s="1"/>
  <c r="AV91" i="7"/>
  <c r="AN91" i="7"/>
  <c r="AF91" i="7"/>
  <c r="X91" i="7"/>
  <c r="P91" i="7"/>
  <c r="H91" i="7"/>
  <c r="I91" i="7"/>
  <c r="K91" i="7" s="1"/>
  <c r="Q91" i="7" s="1"/>
  <c r="S91" i="7" s="1"/>
  <c r="Y91" i="7" s="1"/>
  <c r="AA91" i="7" s="1"/>
  <c r="AG91" i="7" s="1"/>
  <c r="AI91" i="7" s="1"/>
  <c r="AO91" i="7" s="1"/>
  <c r="AQ91" i="7" s="1"/>
  <c r="AW91" i="7" s="1"/>
  <c r="AV90" i="7"/>
  <c r="AN90" i="7"/>
  <c r="AL90" i="7"/>
  <c r="AL89" i="13" s="1"/>
  <c r="AF90" i="7"/>
  <c r="X90" i="7"/>
  <c r="V90" i="7"/>
  <c r="V89" i="13" s="1"/>
  <c r="P90" i="7"/>
  <c r="H90" i="7"/>
  <c r="F90" i="7"/>
  <c r="AV89" i="7"/>
  <c r="AN89" i="7"/>
  <c r="AF89" i="7"/>
  <c r="X89" i="7"/>
  <c r="P89" i="7"/>
  <c r="H89" i="7"/>
  <c r="I89" i="7"/>
  <c r="K89" i="7" s="1"/>
  <c r="Q89" i="7" s="1"/>
  <c r="S89" i="7" s="1"/>
  <c r="Y89" i="7" s="1"/>
  <c r="AA89" i="7" s="1"/>
  <c r="AG89" i="7" s="1"/>
  <c r="AI89" i="7" s="1"/>
  <c r="AO89" i="7" s="1"/>
  <c r="AQ89" i="7" s="1"/>
  <c r="AW89" i="7" s="1"/>
  <c r="AV88" i="7"/>
  <c r="AN88" i="7"/>
  <c r="AL88" i="7"/>
  <c r="AL87" i="13" s="1"/>
  <c r="AF88" i="7"/>
  <c r="X88" i="7"/>
  <c r="V88" i="7"/>
  <c r="V87" i="13" s="1"/>
  <c r="P88" i="7"/>
  <c r="H88" i="7"/>
  <c r="I88" i="7"/>
  <c r="K88" i="7" s="1"/>
  <c r="Q88" i="7" s="1"/>
  <c r="S88" i="7" s="1"/>
  <c r="Y88" i="7" s="1"/>
  <c r="AA88" i="7" s="1"/>
  <c r="AG88" i="7" s="1"/>
  <c r="AI88" i="7" s="1"/>
  <c r="AO88" i="7" s="1"/>
  <c r="AQ88" i="7" s="1"/>
  <c r="AW88" i="7" s="1"/>
  <c r="AV87" i="7"/>
  <c r="AN87" i="7"/>
  <c r="AF87" i="7"/>
  <c r="X87" i="7"/>
  <c r="P87" i="7"/>
  <c r="H87" i="7"/>
  <c r="I87" i="7"/>
  <c r="K87" i="7" s="1"/>
  <c r="Q87" i="7" s="1"/>
  <c r="S87" i="7" s="1"/>
  <c r="Y87" i="7" s="1"/>
  <c r="AA87" i="7" s="1"/>
  <c r="AG87" i="7" s="1"/>
  <c r="AI87" i="7" s="1"/>
  <c r="AO87" i="7" s="1"/>
  <c r="AQ87" i="7" s="1"/>
  <c r="AW87" i="7" s="1"/>
  <c r="AV86" i="7"/>
  <c r="AN86" i="7"/>
  <c r="AL86" i="7"/>
  <c r="AL85" i="13" s="1"/>
  <c r="AF86" i="7"/>
  <c r="X86" i="7"/>
  <c r="V86" i="7"/>
  <c r="V85" i="13" s="1"/>
  <c r="P86" i="7"/>
  <c r="H86" i="7"/>
  <c r="F86" i="7"/>
  <c r="AV85" i="7"/>
  <c r="AN85" i="7"/>
  <c r="AF85" i="7"/>
  <c r="X85" i="7"/>
  <c r="P85" i="7"/>
  <c r="H85" i="7"/>
  <c r="I85" i="7"/>
  <c r="K85" i="7" s="1"/>
  <c r="Q85" i="7" s="1"/>
  <c r="S85" i="7" s="1"/>
  <c r="Y85" i="7" s="1"/>
  <c r="AA85" i="7" s="1"/>
  <c r="AG85" i="7" s="1"/>
  <c r="AI85" i="7" s="1"/>
  <c r="AO85" i="7" s="1"/>
  <c r="AQ85" i="7" s="1"/>
  <c r="AW85" i="7" s="1"/>
  <c r="AV84" i="7"/>
  <c r="AN84" i="7"/>
  <c r="AL84" i="7"/>
  <c r="AL83" i="13" s="1"/>
  <c r="AF84" i="7"/>
  <c r="X84" i="7"/>
  <c r="V84" i="7"/>
  <c r="V83" i="13" s="1"/>
  <c r="P84" i="7"/>
  <c r="H84" i="7"/>
  <c r="I84" i="7"/>
  <c r="K84" i="7" s="1"/>
  <c r="Q84" i="7" s="1"/>
  <c r="S84" i="7" s="1"/>
  <c r="Y84" i="7" s="1"/>
  <c r="AA84" i="7" s="1"/>
  <c r="AG84" i="7" s="1"/>
  <c r="AI84" i="7" s="1"/>
  <c r="AO84" i="7" s="1"/>
  <c r="AQ84" i="7" s="1"/>
  <c r="AW84" i="7" s="1"/>
  <c r="AV83" i="7"/>
  <c r="AV100" i="7" s="1"/>
  <c r="AU100" i="7"/>
  <c r="AS100" i="7"/>
  <c r="AN83" i="7"/>
  <c r="AN100" i="7" s="1"/>
  <c r="AM100" i="7"/>
  <c r="AK100" i="7"/>
  <c r="AF83" i="7"/>
  <c r="AF100" i="7" s="1"/>
  <c r="AE100" i="7"/>
  <c r="AC100" i="7"/>
  <c r="X83" i="7"/>
  <c r="X100" i="7" s="1"/>
  <c r="W100" i="7"/>
  <c r="U100" i="7"/>
  <c r="P83" i="7"/>
  <c r="P100" i="7" s="1"/>
  <c r="O100" i="7"/>
  <c r="M100" i="7"/>
  <c r="H83" i="7"/>
  <c r="H100" i="7" s="1"/>
  <c r="G100" i="7"/>
  <c r="E100" i="7"/>
  <c r="C100" i="7"/>
  <c r="D81" i="7"/>
  <c r="A26" i="18" s="1"/>
  <c r="F26" i="18" s="1"/>
  <c r="AV80" i="7"/>
  <c r="AN80" i="7"/>
  <c r="AF80" i="7"/>
  <c r="X80" i="7"/>
  <c r="P80" i="7"/>
  <c r="H80" i="7"/>
  <c r="AV79" i="7"/>
  <c r="AN79" i="7"/>
  <c r="AF79" i="7"/>
  <c r="X79" i="7"/>
  <c r="P79" i="7"/>
  <c r="H79" i="7"/>
  <c r="I79" i="7"/>
  <c r="K79" i="7" s="1"/>
  <c r="Q79" i="7" s="1"/>
  <c r="S79" i="7" s="1"/>
  <c r="Y79" i="7" s="1"/>
  <c r="AA79" i="7" s="1"/>
  <c r="AG79" i="7" s="1"/>
  <c r="AI79" i="7" s="1"/>
  <c r="AO79" i="7" s="1"/>
  <c r="AQ79" i="7" s="1"/>
  <c r="AW79" i="7" s="1"/>
  <c r="AV78" i="7"/>
  <c r="AN78" i="7"/>
  <c r="AF78" i="7"/>
  <c r="X78" i="7"/>
  <c r="P78" i="7"/>
  <c r="H78" i="7"/>
  <c r="I78" i="7"/>
  <c r="K78" i="7" s="1"/>
  <c r="Q78" i="7" s="1"/>
  <c r="S78" i="7" s="1"/>
  <c r="Y78" i="7" s="1"/>
  <c r="AA78" i="7" s="1"/>
  <c r="AG78" i="7" s="1"/>
  <c r="AI78" i="7" s="1"/>
  <c r="AO78" i="7" s="1"/>
  <c r="AQ78" i="7" s="1"/>
  <c r="AW78" i="7" s="1"/>
  <c r="AV77" i="7"/>
  <c r="AN77" i="7"/>
  <c r="AF77" i="7"/>
  <c r="X77" i="7"/>
  <c r="P77" i="7"/>
  <c r="H77" i="7"/>
  <c r="I77" i="7"/>
  <c r="K77" i="7" s="1"/>
  <c r="Q77" i="7" s="1"/>
  <c r="S77" i="7" s="1"/>
  <c r="Y77" i="7" s="1"/>
  <c r="AA77" i="7" s="1"/>
  <c r="AG77" i="7" s="1"/>
  <c r="AI77" i="7" s="1"/>
  <c r="AO77" i="7" s="1"/>
  <c r="AQ77" i="7" s="1"/>
  <c r="AW77" i="7" s="1"/>
  <c r="AV76" i="7"/>
  <c r="AN76" i="7"/>
  <c r="AF76" i="7"/>
  <c r="X76" i="7"/>
  <c r="P76" i="7"/>
  <c r="H76" i="7"/>
  <c r="AV75" i="7"/>
  <c r="AN75" i="7"/>
  <c r="AF75" i="7"/>
  <c r="X75" i="7"/>
  <c r="P75" i="7"/>
  <c r="H75" i="7"/>
  <c r="I75" i="7"/>
  <c r="K75" i="7" s="1"/>
  <c r="Q75" i="7" s="1"/>
  <c r="S75" i="7" s="1"/>
  <c r="Y75" i="7" s="1"/>
  <c r="AA75" i="7" s="1"/>
  <c r="AG75" i="7" s="1"/>
  <c r="AI75" i="7" s="1"/>
  <c r="AO75" i="7" s="1"/>
  <c r="AQ75" i="7" s="1"/>
  <c r="AW75" i="7" s="1"/>
  <c r="AV74" i="7"/>
  <c r="AN74" i="7"/>
  <c r="AF74" i="7"/>
  <c r="X74" i="7"/>
  <c r="P74" i="7"/>
  <c r="H74" i="7"/>
  <c r="I74" i="7"/>
  <c r="K74" i="7" s="1"/>
  <c r="Q74" i="7" s="1"/>
  <c r="S74" i="7" s="1"/>
  <c r="Y74" i="7" s="1"/>
  <c r="AA74" i="7" s="1"/>
  <c r="AG74" i="7" s="1"/>
  <c r="AI74" i="7" s="1"/>
  <c r="AO74" i="7" s="1"/>
  <c r="AQ74" i="7" s="1"/>
  <c r="AW74" i="7" s="1"/>
  <c r="AV73" i="7"/>
  <c r="AN73" i="7"/>
  <c r="AF73" i="7"/>
  <c r="X73" i="7"/>
  <c r="P73" i="7"/>
  <c r="H73" i="7"/>
  <c r="I73" i="7"/>
  <c r="K73" i="7" s="1"/>
  <c r="Q73" i="7" s="1"/>
  <c r="S73" i="7" s="1"/>
  <c r="Y73" i="7" s="1"/>
  <c r="AA73" i="7" s="1"/>
  <c r="AG73" i="7" s="1"/>
  <c r="AI73" i="7" s="1"/>
  <c r="AO73" i="7" s="1"/>
  <c r="AQ73" i="7" s="1"/>
  <c r="AW73" i="7" s="1"/>
  <c r="AV72" i="7"/>
  <c r="AN72" i="7"/>
  <c r="AF72" i="7"/>
  <c r="X72" i="7"/>
  <c r="P72" i="7"/>
  <c r="H72" i="7"/>
  <c r="AV71" i="7"/>
  <c r="AN71" i="7"/>
  <c r="AF71" i="7"/>
  <c r="X71" i="7"/>
  <c r="P71" i="7"/>
  <c r="H71" i="7"/>
  <c r="I71" i="7"/>
  <c r="K71" i="7" s="1"/>
  <c r="Q71" i="7" s="1"/>
  <c r="S71" i="7" s="1"/>
  <c r="Y71" i="7" s="1"/>
  <c r="AA71" i="7" s="1"/>
  <c r="AG71" i="7" s="1"/>
  <c r="AI71" i="7" s="1"/>
  <c r="AO71" i="7" s="1"/>
  <c r="AQ71" i="7" s="1"/>
  <c r="AW71" i="7" s="1"/>
  <c r="AV70" i="7"/>
  <c r="AN70" i="7"/>
  <c r="AF70" i="7"/>
  <c r="X70" i="7"/>
  <c r="P70" i="7"/>
  <c r="H70" i="7"/>
  <c r="I70" i="7"/>
  <c r="K70" i="7" s="1"/>
  <c r="Q70" i="7" s="1"/>
  <c r="S70" i="7" s="1"/>
  <c r="Y70" i="7" s="1"/>
  <c r="AA70" i="7" s="1"/>
  <c r="AG70" i="7" s="1"/>
  <c r="AI70" i="7" s="1"/>
  <c r="AO70" i="7" s="1"/>
  <c r="AQ70" i="7" s="1"/>
  <c r="AW70" i="7" s="1"/>
  <c r="AV69" i="7"/>
  <c r="AN69" i="7"/>
  <c r="AF69" i="7"/>
  <c r="X69" i="7"/>
  <c r="P69" i="7"/>
  <c r="H69" i="7"/>
  <c r="I69" i="7"/>
  <c r="K69" i="7" s="1"/>
  <c r="Q69" i="7" s="1"/>
  <c r="S69" i="7" s="1"/>
  <c r="Y69" i="7" s="1"/>
  <c r="AA69" i="7" s="1"/>
  <c r="AG69" i="7" s="1"/>
  <c r="AI69" i="7" s="1"/>
  <c r="AO69" i="7" s="1"/>
  <c r="AQ69" i="7" s="1"/>
  <c r="AW69" i="7" s="1"/>
  <c r="AV68" i="7"/>
  <c r="AN68" i="7"/>
  <c r="AF68" i="7"/>
  <c r="X68" i="7"/>
  <c r="P68" i="7"/>
  <c r="H68" i="7"/>
  <c r="AV67" i="7"/>
  <c r="AN67" i="7"/>
  <c r="AF67" i="7"/>
  <c r="X67" i="7"/>
  <c r="P67" i="7"/>
  <c r="H67" i="7"/>
  <c r="I67" i="7"/>
  <c r="K67" i="7" s="1"/>
  <c r="Q67" i="7" s="1"/>
  <c r="S67" i="7" s="1"/>
  <c r="Y67" i="7" s="1"/>
  <c r="AA67" i="7" s="1"/>
  <c r="AG67" i="7" s="1"/>
  <c r="AI67" i="7" s="1"/>
  <c r="AO67" i="7" s="1"/>
  <c r="AQ67" i="7" s="1"/>
  <c r="AW67" i="7" s="1"/>
  <c r="AV66" i="7"/>
  <c r="AN66" i="7"/>
  <c r="AF66" i="7"/>
  <c r="X66" i="7"/>
  <c r="P66" i="7"/>
  <c r="H66" i="7"/>
  <c r="I66" i="7"/>
  <c r="K66" i="7" s="1"/>
  <c r="Q66" i="7" s="1"/>
  <c r="S66" i="7" s="1"/>
  <c r="Y66" i="7" s="1"/>
  <c r="AA66" i="7" s="1"/>
  <c r="AG66" i="7" s="1"/>
  <c r="AI66" i="7" s="1"/>
  <c r="AO66" i="7" s="1"/>
  <c r="AQ66" i="7" s="1"/>
  <c r="AW66" i="7" s="1"/>
  <c r="AV65" i="7"/>
  <c r="AN65" i="7"/>
  <c r="AF65" i="7"/>
  <c r="X65" i="7"/>
  <c r="P65" i="7"/>
  <c r="H65" i="7"/>
  <c r="I65" i="7"/>
  <c r="K65" i="7" s="1"/>
  <c r="Q65" i="7" s="1"/>
  <c r="S65" i="7" s="1"/>
  <c r="Y65" i="7" s="1"/>
  <c r="AA65" i="7" s="1"/>
  <c r="AG65" i="7" s="1"/>
  <c r="AI65" i="7" s="1"/>
  <c r="AO65" i="7" s="1"/>
  <c r="AQ65" i="7" s="1"/>
  <c r="AW65" i="7" s="1"/>
  <c r="AU81" i="7"/>
  <c r="AM81" i="7"/>
  <c r="AE81" i="7"/>
  <c r="W81" i="7"/>
  <c r="O81" i="7"/>
  <c r="G81" i="7"/>
  <c r="C81" i="7"/>
  <c r="D62" i="7"/>
  <c r="A25" i="18" s="1"/>
  <c r="F25" i="18" s="1"/>
  <c r="AV61" i="7"/>
  <c r="AN61" i="7"/>
  <c r="AF61" i="7"/>
  <c r="X61" i="7"/>
  <c r="P61" i="7"/>
  <c r="H61" i="7"/>
  <c r="I61" i="7"/>
  <c r="K61" i="7" s="1"/>
  <c r="Q61" i="7" s="1"/>
  <c r="S61" i="7" s="1"/>
  <c r="Y61" i="7" s="1"/>
  <c r="AA61" i="7" s="1"/>
  <c r="AG61" i="7" s="1"/>
  <c r="AI61" i="7" s="1"/>
  <c r="AO61" i="7" s="1"/>
  <c r="AQ61" i="7" s="1"/>
  <c r="AW61" i="7" s="1"/>
  <c r="AV60" i="7"/>
  <c r="AN60" i="7"/>
  <c r="AF60" i="7"/>
  <c r="X60" i="7"/>
  <c r="P60" i="7"/>
  <c r="H60" i="7"/>
  <c r="I60" i="7"/>
  <c r="K60" i="7" s="1"/>
  <c r="Q60" i="7" s="1"/>
  <c r="S60" i="7" s="1"/>
  <c r="Y60" i="7" s="1"/>
  <c r="AA60" i="7" s="1"/>
  <c r="AG60" i="7" s="1"/>
  <c r="AI60" i="7" s="1"/>
  <c r="AO60" i="7" s="1"/>
  <c r="AQ60" i="7" s="1"/>
  <c r="AW60" i="7" s="1"/>
  <c r="AV59" i="7"/>
  <c r="AN59" i="7"/>
  <c r="AF59" i="7"/>
  <c r="X59" i="7"/>
  <c r="P59" i="7"/>
  <c r="H59" i="7"/>
  <c r="I59" i="7"/>
  <c r="K59" i="7" s="1"/>
  <c r="Q59" i="7" s="1"/>
  <c r="S59" i="7" s="1"/>
  <c r="Y59" i="7" s="1"/>
  <c r="AA59" i="7" s="1"/>
  <c r="AG59" i="7" s="1"/>
  <c r="AI59" i="7" s="1"/>
  <c r="AO59" i="7" s="1"/>
  <c r="AQ59" i="7" s="1"/>
  <c r="AW59" i="7" s="1"/>
  <c r="AV58" i="7"/>
  <c r="AN58" i="7"/>
  <c r="AF58" i="7"/>
  <c r="X58" i="7"/>
  <c r="P58" i="7"/>
  <c r="H58" i="7"/>
  <c r="AV57" i="7"/>
  <c r="AN57" i="7"/>
  <c r="AF57" i="7"/>
  <c r="X57" i="7"/>
  <c r="P57" i="7"/>
  <c r="H57" i="7"/>
  <c r="I57" i="7"/>
  <c r="K57" i="7" s="1"/>
  <c r="Q57" i="7" s="1"/>
  <c r="S57" i="7" s="1"/>
  <c r="Y57" i="7" s="1"/>
  <c r="AA57" i="7" s="1"/>
  <c r="AG57" i="7" s="1"/>
  <c r="AI57" i="7" s="1"/>
  <c r="AO57" i="7" s="1"/>
  <c r="AQ57" i="7" s="1"/>
  <c r="AW57" i="7" s="1"/>
  <c r="AV56" i="7"/>
  <c r="AN56" i="7"/>
  <c r="AF56" i="7"/>
  <c r="X56" i="7"/>
  <c r="P56" i="7"/>
  <c r="H56" i="7"/>
  <c r="I56" i="7"/>
  <c r="K56" i="7" s="1"/>
  <c r="Q56" i="7" s="1"/>
  <c r="S56" i="7" s="1"/>
  <c r="Y56" i="7" s="1"/>
  <c r="AA56" i="7" s="1"/>
  <c r="AG56" i="7" s="1"/>
  <c r="AI56" i="7" s="1"/>
  <c r="AO56" i="7" s="1"/>
  <c r="AQ56" i="7" s="1"/>
  <c r="AW56" i="7" s="1"/>
  <c r="AV55" i="7"/>
  <c r="AN55" i="7"/>
  <c r="AF55" i="7"/>
  <c r="X55" i="7"/>
  <c r="P55" i="7"/>
  <c r="H55" i="7"/>
  <c r="I55" i="7"/>
  <c r="K55" i="7" s="1"/>
  <c r="Q55" i="7" s="1"/>
  <c r="S55" i="7" s="1"/>
  <c r="Y55" i="7" s="1"/>
  <c r="AA55" i="7" s="1"/>
  <c r="AG55" i="7" s="1"/>
  <c r="AI55" i="7" s="1"/>
  <c r="AO55" i="7" s="1"/>
  <c r="AQ55" i="7" s="1"/>
  <c r="AW55" i="7" s="1"/>
  <c r="AV54" i="7"/>
  <c r="AN54" i="7"/>
  <c r="AF54" i="7"/>
  <c r="X54" i="7"/>
  <c r="P54" i="7"/>
  <c r="H54" i="7"/>
  <c r="AV53" i="7"/>
  <c r="AN53" i="7"/>
  <c r="AF53" i="7"/>
  <c r="X53" i="7"/>
  <c r="P53" i="7"/>
  <c r="H53" i="7"/>
  <c r="I53" i="7"/>
  <c r="K53" i="7" s="1"/>
  <c r="Q53" i="7" s="1"/>
  <c r="S53" i="7" s="1"/>
  <c r="Y53" i="7" s="1"/>
  <c r="AA53" i="7" s="1"/>
  <c r="AG53" i="7" s="1"/>
  <c r="AI53" i="7" s="1"/>
  <c r="AO53" i="7" s="1"/>
  <c r="AQ53" i="7" s="1"/>
  <c r="AW53" i="7" s="1"/>
  <c r="AV52" i="7"/>
  <c r="AN52" i="7"/>
  <c r="AF52" i="7"/>
  <c r="X52" i="7"/>
  <c r="P52" i="7"/>
  <c r="H52" i="7"/>
  <c r="I52" i="7"/>
  <c r="K52" i="7" s="1"/>
  <c r="Q52" i="7" s="1"/>
  <c r="S52" i="7" s="1"/>
  <c r="Y52" i="7" s="1"/>
  <c r="AA52" i="7" s="1"/>
  <c r="AG52" i="7" s="1"/>
  <c r="AI52" i="7" s="1"/>
  <c r="AO52" i="7" s="1"/>
  <c r="AQ52" i="7" s="1"/>
  <c r="AW52" i="7" s="1"/>
  <c r="AV51" i="7"/>
  <c r="AN51" i="7"/>
  <c r="AF51" i="7"/>
  <c r="X51" i="7"/>
  <c r="P51" i="7"/>
  <c r="H51" i="7"/>
  <c r="I51" i="7"/>
  <c r="K51" i="7" s="1"/>
  <c r="Q51" i="7" s="1"/>
  <c r="S51" i="7" s="1"/>
  <c r="Y51" i="7" s="1"/>
  <c r="AA51" i="7" s="1"/>
  <c r="AG51" i="7" s="1"/>
  <c r="AI51" i="7" s="1"/>
  <c r="AO51" i="7" s="1"/>
  <c r="AQ51" i="7" s="1"/>
  <c r="AW51" i="7" s="1"/>
  <c r="AV50" i="7"/>
  <c r="AN50" i="7"/>
  <c r="AF50" i="7"/>
  <c r="X50" i="7"/>
  <c r="P50" i="7"/>
  <c r="H50" i="7"/>
  <c r="AV49" i="7"/>
  <c r="AN49" i="7"/>
  <c r="AF49" i="7"/>
  <c r="X49" i="7"/>
  <c r="P49" i="7"/>
  <c r="H49" i="7"/>
  <c r="I49" i="7"/>
  <c r="K49" i="7" s="1"/>
  <c r="Q49" i="7" s="1"/>
  <c r="S49" i="7" s="1"/>
  <c r="Y49" i="7" s="1"/>
  <c r="AA49" i="7" s="1"/>
  <c r="AG49" i="7" s="1"/>
  <c r="AI49" i="7" s="1"/>
  <c r="AO49" i="7" s="1"/>
  <c r="AQ49" i="7" s="1"/>
  <c r="AW49" i="7" s="1"/>
  <c r="AV48" i="7"/>
  <c r="AN48" i="7"/>
  <c r="AF48" i="7"/>
  <c r="X48" i="7"/>
  <c r="P48" i="7"/>
  <c r="H48" i="7"/>
  <c r="AV47" i="7"/>
  <c r="AN47" i="7"/>
  <c r="AF47" i="7"/>
  <c r="X47" i="7"/>
  <c r="P47" i="7"/>
  <c r="H47" i="7"/>
  <c r="I47" i="7"/>
  <c r="K47" i="7" s="1"/>
  <c r="Q47" i="7" s="1"/>
  <c r="S47" i="7" s="1"/>
  <c r="Y47" i="7" s="1"/>
  <c r="AA47" i="7" s="1"/>
  <c r="AG47" i="7" s="1"/>
  <c r="AI47" i="7" s="1"/>
  <c r="AO47" i="7" s="1"/>
  <c r="AQ47" i="7" s="1"/>
  <c r="AW47" i="7" s="1"/>
  <c r="AV46" i="7"/>
  <c r="AN46" i="7"/>
  <c r="AF46" i="7"/>
  <c r="X46" i="7"/>
  <c r="P46" i="7"/>
  <c r="H46" i="7"/>
  <c r="AV45" i="7"/>
  <c r="AV62" i="7" s="1"/>
  <c r="AU62" i="7"/>
  <c r="AN45" i="7"/>
  <c r="AM62" i="7"/>
  <c r="AK62" i="7"/>
  <c r="AF45" i="7"/>
  <c r="AF62" i="7" s="1"/>
  <c r="AE62" i="7"/>
  <c r="X45" i="7"/>
  <c r="W62" i="7"/>
  <c r="U62" i="7"/>
  <c r="P45" i="7"/>
  <c r="P62" i="7" s="1"/>
  <c r="O62" i="7"/>
  <c r="H45" i="7"/>
  <c r="G62" i="7"/>
  <c r="E62" i="7"/>
  <c r="D43" i="7"/>
  <c r="A24" i="18" s="1"/>
  <c r="F24" i="18" s="1"/>
  <c r="AV42" i="7"/>
  <c r="AN42" i="7"/>
  <c r="AF42" i="7"/>
  <c r="X42" i="7"/>
  <c r="P42" i="7"/>
  <c r="H42" i="7"/>
  <c r="I42" i="7"/>
  <c r="K42" i="7" s="1"/>
  <c r="Q42" i="7" s="1"/>
  <c r="S42" i="7" s="1"/>
  <c r="Y42" i="7" s="1"/>
  <c r="AA42" i="7" s="1"/>
  <c r="AG42" i="7" s="1"/>
  <c r="AI42" i="7" s="1"/>
  <c r="AO42" i="7" s="1"/>
  <c r="AQ42" i="7" s="1"/>
  <c r="AW42" i="7" s="1"/>
  <c r="AV41" i="7"/>
  <c r="AN41" i="7"/>
  <c r="AF41" i="7"/>
  <c r="X41" i="7"/>
  <c r="P41" i="7"/>
  <c r="H41" i="7"/>
  <c r="I41" i="7"/>
  <c r="K41" i="7" s="1"/>
  <c r="Q41" i="7" s="1"/>
  <c r="S41" i="7" s="1"/>
  <c r="Y41" i="7" s="1"/>
  <c r="AA41" i="7" s="1"/>
  <c r="AG41" i="7" s="1"/>
  <c r="AI41" i="7" s="1"/>
  <c r="AO41" i="7" s="1"/>
  <c r="AQ41" i="7" s="1"/>
  <c r="AW41" i="7" s="1"/>
  <c r="AV40" i="7"/>
  <c r="AN40" i="7"/>
  <c r="AF40" i="7"/>
  <c r="X40" i="7"/>
  <c r="P40" i="7"/>
  <c r="H40" i="7"/>
  <c r="I40" i="7"/>
  <c r="K40" i="7" s="1"/>
  <c r="Q40" i="7" s="1"/>
  <c r="S40" i="7" s="1"/>
  <c r="Y40" i="7" s="1"/>
  <c r="AA40" i="7" s="1"/>
  <c r="AG40" i="7" s="1"/>
  <c r="AI40" i="7" s="1"/>
  <c r="AO40" i="7" s="1"/>
  <c r="AQ40" i="7" s="1"/>
  <c r="AW40" i="7" s="1"/>
  <c r="AV39" i="7"/>
  <c r="AN39" i="7"/>
  <c r="AF39" i="7"/>
  <c r="X39" i="7"/>
  <c r="P39" i="7"/>
  <c r="H39" i="7"/>
  <c r="I39" i="7"/>
  <c r="K39" i="7" s="1"/>
  <c r="Q39" i="7" s="1"/>
  <c r="S39" i="7" s="1"/>
  <c r="Y39" i="7" s="1"/>
  <c r="AA39" i="7" s="1"/>
  <c r="AG39" i="7" s="1"/>
  <c r="AI39" i="7" s="1"/>
  <c r="AO39" i="7" s="1"/>
  <c r="AQ39" i="7" s="1"/>
  <c r="AW39" i="7" s="1"/>
  <c r="AV38" i="7"/>
  <c r="AN38" i="7"/>
  <c r="AF38" i="7"/>
  <c r="X38" i="7"/>
  <c r="P38" i="7"/>
  <c r="H38" i="7"/>
  <c r="AV37" i="7"/>
  <c r="AN37" i="7"/>
  <c r="AF37" i="7"/>
  <c r="X37" i="7"/>
  <c r="P37" i="7"/>
  <c r="H37" i="7"/>
  <c r="I37" i="7"/>
  <c r="K37" i="7" s="1"/>
  <c r="Q37" i="7" s="1"/>
  <c r="S37" i="7" s="1"/>
  <c r="Y37" i="7" s="1"/>
  <c r="AA37" i="7" s="1"/>
  <c r="AG37" i="7" s="1"/>
  <c r="AI37" i="7" s="1"/>
  <c r="AO37" i="7" s="1"/>
  <c r="AQ37" i="7" s="1"/>
  <c r="AW37" i="7" s="1"/>
  <c r="AV36" i="7"/>
  <c r="AN36" i="7"/>
  <c r="AF36" i="7"/>
  <c r="X36" i="7"/>
  <c r="P36" i="7"/>
  <c r="H36" i="7"/>
  <c r="I36" i="7"/>
  <c r="K36" i="7" s="1"/>
  <c r="Q36" i="7" s="1"/>
  <c r="S36" i="7" s="1"/>
  <c r="Y36" i="7" s="1"/>
  <c r="AA36" i="7" s="1"/>
  <c r="AG36" i="7" s="1"/>
  <c r="AI36" i="7" s="1"/>
  <c r="AO36" i="7" s="1"/>
  <c r="AQ36" i="7" s="1"/>
  <c r="AW36" i="7" s="1"/>
  <c r="AV35" i="7"/>
  <c r="AN35" i="7"/>
  <c r="AF35" i="7"/>
  <c r="X35" i="7"/>
  <c r="P35" i="7"/>
  <c r="H35" i="7"/>
  <c r="I35" i="7"/>
  <c r="K35" i="7" s="1"/>
  <c r="Q35" i="7" s="1"/>
  <c r="S35" i="7" s="1"/>
  <c r="Y35" i="7" s="1"/>
  <c r="AA35" i="7" s="1"/>
  <c r="AG35" i="7" s="1"/>
  <c r="AI35" i="7" s="1"/>
  <c r="AO35" i="7" s="1"/>
  <c r="AQ35" i="7" s="1"/>
  <c r="AW35" i="7" s="1"/>
  <c r="AV34" i="7"/>
  <c r="AN34" i="7"/>
  <c r="AF34" i="7"/>
  <c r="X34" i="7"/>
  <c r="P34" i="7"/>
  <c r="H34" i="7"/>
  <c r="AV33" i="7"/>
  <c r="AN33" i="7"/>
  <c r="AF33" i="7"/>
  <c r="X33" i="7"/>
  <c r="P33" i="7"/>
  <c r="H33" i="7"/>
  <c r="I33" i="7"/>
  <c r="K33" i="7" s="1"/>
  <c r="Q33" i="7" s="1"/>
  <c r="S33" i="7" s="1"/>
  <c r="Y33" i="7" s="1"/>
  <c r="AA33" i="7" s="1"/>
  <c r="AG33" i="7" s="1"/>
  <c r="AI33" i="7" s="1"/>
  <c r="AO33" i="7" s="1"/>
  <c r="AQ33" i="7" s="1"/>
  <c r="AW33" i="7" s="1"/>
  <c r="AV32" i="7"/>
  <c r="AN32" i="7"/>
  <c r="AF32" i="7"/>
  <c r="X32" i="7"/>
  <c r="P32" i="7"/>
  <c r="H32" i="7"/>
  <c r="I32" i="7"/>
  <c r="K32" i="7" s="1"/>
  <c r="Q32" i="7" s="1"/>
  <c r="S32" i="7" s="1"/>
  <c r="Y32" i="7" s="1"/>
  <c r="AA32" i="7" s="1"/>
  <c r="AG32" i="7" s="1"/>
  <c r="AI32" i="7" s="1"/>
  <c r="AO32" i="7" s="1"/>
  <c r="AQ32" i="7" s="1"/>
  <c r="AW32" i="7" s="1"/>
  <c r="AV31" i="7"/>
  <c r="AN31" i="7"/>
  <c r="AF31" i="7"/>
  <c r="X31" i="7"/>
  <c r="P31" i="7"/>
  <c r="H31" i="7"/>
  <c r="I31" i="7"/>
  <c r="K31" i="7" s="1"/>
  <c r="Q31" i="7" s="1"/>
  <c r="S31" i="7" s="1"/>
  <c r="Y31" i="7" s="1"/>
  <c r="AA31" i="7" s="1"/>
  <c r="AG31" i="7" s="1"/>
  <c r="AI31" i="7" s="1"/>
  <c r="AO31" i="7" s="1"/>
  <c r="AQ31" i="7" s="1"/>
  <c r="AW31" i="7" s="1"/>
  <c r="AV30" i="7"/>
  <c r="AN30" i="7"/>
  <c r="AF30" i="7"/>
  <c r="X30" i="7"/>
  <c r="P30" i="7"/>
  <c r="H30" i="7"/>
  <c r="AV29" i="7"/>
  <c r="AN29" i="7"/>
  <c r="AF29" i="7"/>
  <c r="X29" i="7"/>
  <c r="P29" i="7"/>
  <c r="H29" i="7"/>
  <c r="I29" i="7"/>
  <c r="K29" i="7" s="1"/>
  <c r="Q29" i="7" s="1"/>
  <c r="S29" i="7" s="1"/>
  <c r="Y29" i="7" s="1"/>
  <c r="AA29" i="7" s="1"/>
  <c r="AG29" i="7" s="1"/>
  <c r="AI29" i="7" s="1"/>
  <c r="AO29" i="7" s="1"/>
  <c r="AQ29" i="7" s="1"/>
  <c r="AW29" i="7" s="1"/>
  <c r="AV28" i="7"/>
  <c r="AN28" i="7"/>
  <c r="AF28" i="7"/>
  <c r="X28" i="7"/>
  <c r="P28" i="7"/>
  <c r="H28" i="7"/>
  <c r="I28" i="7"/>
  <c r="K28" i="7" s="1"/>
  <c r="Q28" i="7" s="1"/>
  <c r="S28" i="7" s="1"/>
  <c r="Y28" i="7" s="1"/>
  <c r="AA28" i="7" s="1"/>
  <c r="AG28" i="7" s="1"/>
  <c r="AI28" i="7" s="1"/>
  <c r="AO28" i="7" s="1"/>
  <c r="AQ28" i="7" s="1"/>
  <c r="AW28" i="7" s="1"/>
  <c r="AV27" i="7"/>
  <c r="AN27" i="7"/>
  <c r="AF27" i="7"/>
  <c r="X27" i="7"/>
  <c r="P27" i="7"/>
  <c r="H27" i="7"/>
  <c r="C43" i="7"/>
  <c r="AU43" i="7"/>
  <c r="AM43" i="7"/>
  <c r="AK43" i="7"/>
  <c r="AE43" i="7"/>
  <c r="AC43" i="7"/>
  <c r="W43" i="7"/>
  <c r="O43" i="7"/>
  <c r="G43" i="7"/>
  <c r="E43" i="7"/>
  <c r="D24" i="7"/>
  <c r="A23" i="18" s="1"/>
  <c r="F23" i="18" s="1"/>
  <c r="AV23" i="7"/>
  <c r="AS308" i="7"/>
  <c r="AN23" i="7"/>
  <c r="AK308" i="7"/>
  <c r="AF23" i="7"/>
  <c r="AC308" i="7"/>
  <c r="X23" i="7"/>
  <c r="U308" i="7"/>
  <c r="P23" i="7"/>
  <c r="M308" i="7"/>
  <c r="H23" i="7"/>
  <c r="E308" i="7"/>
  <c r="C308" i="7"/>
  <c r="AU307" i="7"/>
  <c r="AV307" i="7" s="1"/>
  <c r="AS307" i="7"/>
  <c r="AM307" i="7"/>
  <c r="AN307" i="7" s="1"/>
  <c r="AK307" i="7"/>
  <c r="AE307" i="7"/>
  <c r="AF307" i="7" s="1"/>
  <c r="AC307" i="7"/>
  <c r="W307" i="7"/>
  <c r="X307" i="7" s="1"/>
  <c r="U307" i="7"/>
  <c r="O307" i="7"/>
  <c r="P307" i="7" s="1"/>
  <c r="M307" i="7"/>
  <c r="G307" i="7"/>
  <c r="H307" i="7" s="1"/>
  <c r="E307" i="7"/>
  <c r="AV21" i="7"/>
  <c r="AN21" i="7"/>
  <c r="AF21" i="7"/>
  <c r="X21" i="7"/>
  <c r="P21" i="7"/>
  <c r="H21" i="7"/>
  <c r="C306" i="7"/>
  <c r="AU305" i="7"/>
  <c r="AV305" i="7" s="1"/>
  <c r="AS305" i="7"/>
  <c r="AM305" i="7"/>
  <c r="AN305" i="7" s="1"/>
  <c r="AK305" i="7"/>
  <c r="AE305" i="7"/>
  <c r="AF305" i="7" s="1"/>
  <c r="AC305" i="7"/>
  <c r="W305" i="7"/>
  <c r="X305" i="7" s="1"/>
  <c r="U305" i="7"/>
  <c r="O305" i="7"/>
  <c r="P305" i="7" s="1"/>
  <c r="M305" i="7"/>
  <c r="G305" i="7"/>
  <c r="H305" i="7" s="1"/>
  <c r="E305" i="7"/>
  <c r="AV19" i="7"/>
  <c r="AN19" i="7"/>
  <c r="AF19" i="7"/>
  <c r="X19" i="7"/>
  <c r="P19" i="7"/>
  <c r="H19" i="7"/>
  <c r="C304" i="7"/>
  <c r="AU303" i="7"/>
  <c r="AV303" i="7" s="1"/>
  <c r="AS303" i="7"/>
  <c r="AM303" i="7"/>
  <c r="AN303" i="7" s="1"/>
  <c r="AK303" i="7"/>
  <c r="AE303" i="7"/>
  <c r="AF303" i="7" s="1"/>
  <c r="AC303" i="7"/>
  <c r="W303" i="7"/>
  <c r="X303" i="7" s="1"/>
  <c r="U303" i="7"/>
  <c r="O303" i="7"/>
  <c r="P303" i="7" s="1"/>
  <c r="M303" i="7"/>
  <c r="G303" i="7"/>
  <c r="H303" i="7" s="1"/>
  <c r="E303" i="7"/>
  <c r="AV17" i="7"/>
  <c r="AN17" i="7"/>
  <c r="AF17" i="7"/>
  <c r="X17" i="7"/>
  <c r="P17" i="7"/>
  <c r="H17" i="7"/>
  <c r="C302" i="7"/>
  <c r="AU301" i="7"/>
  <c r="AV301" i="7" s="1"/>
  <c r="AS301" i="7"/>
  <c r="AM301" i="7"/>
  <c r="AN301" i="7" s="1"/>
  <c r="AK301" i="7"/>
  <c r="AE301" i="7"/>
  <c r="AF301" i="7" s="1"/>
  <c r="AC301" i="7"/>
  <c r="W301" i="7"/>
  <c r="X301" i="7" s="1"/>
  <c r="U301" i="7"/>
  <c r="O301" i="7"/>
  <c r="P301" i="7" s="1"/>
  <c r="M301" i="7"/>
  <c r="G301" i="7"/>
  <c r="H301" i="7" s="1"/>
  <c r="E301" i="7"/>
  <c r="AV15" i="7"/>
  <c r="AN15" i="7"/>
  <c r="AF15" i="7"/>
  <c r="X15" i="7"/>
  <c r="P15" i="7"/>
  <c r="H15" i="7"/>
  <c r="C300" i="7"/>
  <c r="AU299" i="7"/>
  <c r="AV299" i="7" s="1"/>
  <c r="AS299" i="7"/>
  <c r="AM299" i="7"/>
  <c r="AN299" i="7" s="1"/>
  <c r="AK299" i="7"/>
  <c r="AE299" i="7"/>
  <c r="AF299" i="7" s="1"/>
  <c r="AC299" i="7"/>
  <c r="W299" i="7"/>
  <c r="X299" i="7" s="1"/>
  <c r="U299" i="7"/>
  <c r="O299" i="7"/>
  <c r="P299" i="7" s="1"/>
  <c r="M299" i="7"/>
  <c r="G299" i="7"/>
  <c r="H299" i="7" s="1"/>
  <c r="E299" i="7"/>
  <c r="AV13" i="7"/>
  <c r="AN13" i="7"/>
  <c r="AF13" i="7"/>
  <c r="X13" i="7"/>
  <c r="P13" i="7"/>
  <c r="H13" i="7"/>
  <c r="C298" i="7"/>
  <c r="AU297" i="7"/>
  <c r="AV297" i="7" s="1"/>
  <c r="AS297" i="7"/>
  <c r="AM297" i="7"/>
  <c r="AN297" i="7" s="1"/>
  <c r="AK297" i="7"/>
  <c r="AE297" i="7"/>
  <c r="AF297" i="7" s="1"/>
  <c r="AC297" i="7"/>
  <c r="W297" i="7"/>
  <c r="X297" i="7" s="1"/>
  <c r="U297" i="7"/>
  <c r="O297" i="7"/>
  <c r="P297" i="7" s="1"/>
  <c r="M297" i="7"/>
  <c r="G297" i="7"/>
  <c r="H297" i="7" s="1"/>
  <c r="E297" i="7"/>
  <c r="AV11" i="7"/>
  <c r="AN11" i="7"/>
  <c r="AF11" i="7"/>
  <c r="X11" i="7"/>
  <c r="P11" i="7"/>
  <c r="H11" i="7"/>
  <c r="C296" i="7"/>
  <c r="AU295" i="7"/>
  <c r="AV295" i="7" s="1"/>
  <c r="AS295" i="7"/>
  <c r="AM295" i="7"/>
  <c r="AN295" i="7" s="1"/>
  <c r="AK295" i="7"/>
  <c r="AE295" i="7"/>
  <c r="AF295" i="7" s="1"/>
  <c r="AC295" i="7"/>
  <c r="W295" i="7"/>
  <c r="X295" i="7" s="1"/>
  <c r="U295" i="7"/>
  <c r="O295" i="7"/>
  <c r="P295" i="7" s="1"/>
  <c r="M295" i="7"/>
  <c r="G295" i="7"/>
  <c r="H295" i="7" s="1"/>
  <c r="E295" i="7"/>
  <c r="AV9" i="7"/>
  <c r="AN9" i="7"/>
  <c r="AF9" i="7"/>
  <c r="X9" i="7"/>
  <c r="P9" i="7"/>
  <c r="H9" i="7"/>
  <c r="C294" i="7"/>
  <c r="AU293" i="7"/>
  <c r="AV293" i="7" s="1"/>
  <c r="AS293" i="7"/>
  <c r="AM293" i="7"/>
  <c r="AN293" i="7" s="1"/>
  <c r="AK293" i="7"/>
  <c r="AE293" i="7"/>
  <c r="AF293" i="7" s="1"/>
  <c r="AC293" i="7"/>
  <c r="W293" i="7"/>
  <c r="X293" i="7" s="1"/>
  <c r="U293" i="7"/>
  <c r="O293" i="7"/>
  <c r="P293" i="7" s="1"/>
  <c r="M293" i="7"/>
  <c r="G293" i="7"/>
  <c r="H293" i="7" s="1"/>
  <c r="E293" i="7"/>
  <c r="AV7" i="7"/>
  <c r="AN7" i="7"/>
  <c r="AF7" i="7"/>
  <c r="X7" i="7"/>
  <c r="P7" i="7"/>
  <c r="H7" i="7"/>
  <c r="C292" i="7"/>
  <c r="I59" i="6"/>
  <c r="H59" i="6"/>
  <c r="G59" i="6"/>
  <c r="F59" i="6"/>
  <c r="E59" i="6"/>
  <c r="I48" i="6"/>
  <c r="D36" i="6"/>
  <c r="D27" i="6"/>
  <c r="C16" i="6"/>
  <c r="C17" i="6" s="1"/>
  <c r="C39" i="6" s="1"/>
  <c r="H9" i="6"/>
  <c r="G9" i="6"/>
  <c r="F9" i="6"/>
  <c r="E9" i="6"/>
  <c r="D9" i="6"/>
  <c r="C9" i="6"/>
  <c r="C36" i="6" s="1"/>
  <c r="C37" i="6" s="1"/>
  <c r="D35" i="6" s="1"/>
  <c r="D37" i="6" s="1"/>
  <c r="C36" i="9" s="1"/>
  <c r="D21" i="6"/>
  <c r="C21" i="6"/>
  <c r="C22" i="6" s="1"/>
  <c r="J59" i="5"/>
  <c r="I59" i="5"/>
  <c r="H59" i="5"/>
  <c r="G59" i="5"/>
  <c r="F59" i="5"/>
  <c r="J48" i="5"/>
  <c r="E36" i="5"/>
  <c r="D27" i="5"/>
  <c r="D21" i="5"/>
  <c r="C17" i="5"/>
  <c r="D16" i="5"/>
  <c r="D17" i="5" s="1"/>
  <c r="C16" i="5"/>
  <c r="I9" i="5"/>
  <c r="H9" i="5"/>
  <c r="G9" i="5"/>
  <c r="F9" i="5"/>
  <c r="E9" i="5"/>
  <c r="D9" i="5"/>
  <c r="D36" i="5" s="1"/>
  <c r="C9" i="5"/>
  <c r="E27" i="5"/>
  <c r="C27" i="5"/>
  <c r="J59" i="4"/>
  <c r="I59" i="4"/>
  <c r="H59" i="4"/>
  <c r="G59" i="4"/>
  <c r="F59" i="4"/>
  <c r="J48" i="4"/>
  <c r="E36" i="4"/>
  <c r="E27" i="4"/>
  <c r="D27" i="4"/>
  <c r="I21" i="4"/>
  <c r="G21" i="4"/>
  <c r="E21" i="4"/>
  <c r="C15" i="4"/>
  <c r="C16" i="4" s="1"/>
  <c r="L9" i="4"/>
  <c r="K9" i="4"/>
  <c r="J9" i="4"/>
  <c r="I9" i="4"/>
  <c r="H9" i="4"/>
  <c r="G9" i="4"/>
  <c r="D36" i="4" s="1"/>
  <c r="D9" i="4"/>
  <c r="H21" i="4"/>
  <c r="F21" i="4"/>
  <c r="D21" i="4"/>
  <c r="D6" i="4"/>
  <c r="M49" i="3"/>
  <c r="L49" i="3"/>
  <c r="K49" i="3"/>
  <c r="J49" i="3"/>
  <c r="I49" i="3"/>
  <c r="M38" i="3"/>
  <c r="N38" i="3" s="1"/>
  <c r="C15" i="3"/>
  <c r="C16" i="3" s="1"/>
  <c r="D6" i="3"/>
  <c r="G68" i="2"/>
  <c r="F68" i="2"/>
  <c r="E68" i="2"/>
  <c r="D68" i="2"/>
  <c r="E15" i="2"/>
  <c r="D15" i="2"/>
  <c r="D10" i="2" s="1"/>
  <c r="E10" i="2"/>
  <c r="D7" i="2"/>
  <c r="D9" i="2" s="1"/>
  <c r="D6" i="2"/>
  <c r="D8" i="2" s="1"/>
  <c r="C32" i="3" l="1"/>
  <c r="C27" i="3"/>
  <c r="C19" i="3"/>
  <c r="D20" i="6"/>
  <c r="C42" i="6"/>
  <c r="C44" i="6" s="1"/>
  <c r="F30" i="7"/>
  <c r="AL32" i="7"/>
  <c r="AL31" i="13" s="1"/>
  <c r="F34" i="7"/>
  <c r="AL34" i="7"/>
  <c r="AL33" i="13" s="1"/>
  <c r="AL36" i="7"/>
  <c r="AL35" i="13" s="1"/>
  <c r="F38" i="7"/>
  <c r="AL38" i="7"/>
  <c r="AL37" i="13" s="1"/>
  <c r="AL40" i="7"/>
  <c r="AL39" i="13" s="1"/>
  <c r="D11" i="2"/>
  <c r="E9" i="2" s="1"/>
  <c r="C21" i="4"/>
  <c r="C22" i="4" s="1"/>
  <c r="C36" i="4"/>
  <c r="C37" i="4" s="1"/>
  <c r="D35" i="4" s="1"/>
  <c r="D37" i="4" s="1"/>
  <c r="E35" i="4" s="1"/>
  <c r="E37" i="4" s="1"/>
  <c r="C34" i="9" s="1"/>
  <c r="C27" i="4"/>
  <c r="C6" i="10"/>
  <c r="F41" i="7"/>
  <c r="F37" i="7"/>
  <c r="F33" i="7"/>
  <c r="F29" i="7"/>
  <c r="F39" i="7"/>
  <c r="F35" i="7"/>
  <c r="F31" i="7"/>
  <c r="F27" i="7"/>
  <c r="AQ6" i="10"/>
  <c r="AL41" i="7"/>
  <c r="AL40" i="13" s="1"/>
  <c r="AL37" i="7"/>
  <c r="AL36" i="13" s="1"/>
  <c r="AL33" i="7"/>
  <c r="AL32" i="13" s="1"/>
  <c r="AL29" i="7"/>
  <c r="AL28" i="13" s="1"/>
  <c r="AL39" i="7"/>
  <c r="AL38" i="13" s="1"/>
  <c r="AL35" i="7"/>
  <c r="AL34" i="13" s="1"/>
  <c r="AL31" i="7"/>
  <c r="AL30" i="13" s="1"/>
  <c r="AL27" i="7"/>
  <c r="AL26" i="13" s="1"/>
  <c r="AL28" i="7"/>
  <c r="AL27" i="13" s="1"/>
  <c r="AL30" i="7"/>
  <c r="AL29" i="13" s="1"/>
  <c r="C17" i="4"/>
  <c r="C39" i="4" s="1"/>
  <c r="D15" i="4"/>
  <c r="D16" i="4" s="1"/>
  <c r="C29" i="5"/>
  <c r="D26" i="5" s="1"/>
  <c r="D29" i="5" s="1"/>
  <c r="E26" i="5" s="1"/>
  <c r="C30" i="5"/>
  <c r="C32" i="5" s="1"/>
  <c r="AG6" i="10"/>
  <c r="AD37" i="7"/>
  <c r="AD36" i="13" s="1"/>
  <c r="AD33" i="7"/>
  <c r="AD32" i="13" s="1"/>
  <c r="AD29" i="7"/>
  <c r="AD28" i="13" s="1"/>
  <c r="AD41" i="7"/>
  <c r="AD40" i="13" s="1"/>
  <c r="AD39" i="7"/>
  <c r="AD38" i="13" s="1"/>
  <c r="AD35" i="7"/>
  <c r="AD34" i="13" s="1"/>
  <c r="AD31" i="7"/>
  <c r="AD30" i="13" s="1"/>
  <c r="AD27" i="7"/>
  <c r="AD26" i="13" s="1"/>
  <c r="AD28" i="7"/>
  <c r="AD27" i="13" s="1"/>
  <c r="AD30" i="7"/>
  <c r="AD29" i="13" s="1"/>
  <c r="AD32" i="7"/>
  <c r="AD31" i="13" s="1"/>
  <c r="AD34" i="7"/>
  <c r="AD33" i="13" s="1"/>
  <c r="AD36" i="7"/>
  <c r="AD35" i="13" s="1"/>
  <c r="AD38" i="7"/>
  <c r="AD37" i="13" s="1"/>
  <c r="AD40" i="7"/>
  <c r="AD39" i="13" s="1"/>
  <c r="D15" i="3"/>
  <c r="D16" i="3" s="1"/>
  <c r="C17" i="3"/>
  <c r="E8" i="2"/>
  <c r="E16" i="2" s="1"/>
  <c r="D16" i="2"/>
  <c r="E15" i="5"/>
  <c r="E16" i="5" s="1"/>
  <c r="C36" i="5"/>
  <c r="C37" i="5" s="1"/>
  <c r="D15" i="6"/>
  <c r="D16" i="6" s="1"/>
  <c r="I10" i="7"/>
  <c r="K10" i="7" s="1"/>
  <c r="Q10" i="7" s="1"/>
  <c r="S10" i="7" s="1"/>
  <c r="Y10" i="7" s="1"/>
  <c r="AA10" i="7" s="1"/>
  <c r="AG10" i="7" s="1"/>
  <c r="AI10" i="7" s="1"/>
  <c r="AO10" i="7" s="1"/>
  <c r="AQ10" i="7" s="1"/>
  <c r="AW10" i="7" s="1"/>
  <c r="I14" i="7"/>
  <c r="K14" i="7" s="1"/>
  <c r="Q14" i="7" s="1"/>
  <c r="S14" i="7" s="1"/>
  <c r="Y14" i="7" s="1"/>
  <c r="AA14" i="7" s="1"/>
  <c r="AG14" i="7" s="1"/>
  <c r="AI14" i="7" s="1"/>
  <c r="AO14" i="7" s="1"/>
  <c r="AQ14" i="7" s="1"/>
  <c r="AW14" i="7" s="1"/>
  <c r="I18" i="7"/>
  <c r="K18" i="7" s="1"/>
  <c r="Q18" i="7" s="1"/>
  <c r="S18" i="7" s="1"/>
  <c r="Y18" i="7" s="1"/>
  <c r="AA18" i="7" s="1"/>
  <c r="AG18" i="7" s="1"/>
  <c r="AI18" i="7" s="1"/>
  <c r="AO18" i="7" s="1"/>
  <c r="AQ18" i="7" s="1"/>
  <c r="AW18" i="7" s="1"/>
  <c r="D23" i="2" a="1"/>
  <c r="C21" i="5"/>
  <c r="C22" i="5" s="1"/>
  <c r="C27" i="6"/>
  <c r="G292" i="7"/>
  <c r="O292" i="7"/>
  <c r="W292" i="7"/>
  <c r="AE292" i="7"/>
  <c r="AM292" i="7"/>
  <c r="AU292" i="7"/>
  <c r="C293" i="7"/>
  <c r="I293" i="7" s="1"/>
  <c r="K293" i="7" s="1"/>
  <c r="Q293" i="7" s="1"/>
  <c r="S293" i="7" s="1"/>
  <c r="Y293" i="7" s="1"/>
  <c r="AA293" i="7" s="1"/>
  <c r="AG293" i="7" s="1"/>
  <c r="AI293" i="7" s="1"/>
  <c r="AO293" i="7" s="1"/>
  <c r="AQ293" i="7" s="1"/>
  <c r="AW293" i="7" s="1"/>
  <c r="H8" i="7"/>
  <c r="H24" i="7" s="1"/>
  <c r="P8" i="7"/>
  <c r="P24" i="7" s="1"/>
  <c r="X8" i="7"/>
  <c r="X24" i="7" s="1"/>
  <c r="AF8" i="7"/>
  <c r="AF24" i="7" s="1"/>
  <c r="AN8" i="7"/>
  <c r="AV8" i="7"/>
  <c r="AV24" i="7" s="1"/>
  <c r="E294" i="7"/>
  <c r="I9" i="7"/>
  <c r="K9" i="7" s="1"/>
  <c r="Q9" i="7" s="1"/>
  <c r="S9" i="7" s="1"/>
  <c r="Y9" i="7" s="1"/>
  <c r="AA9" i="7" s="1"/>
  <c r="AG9" i="7" s="1"/>
  <c r="AI9" i="7" s="1"/>
  <c r="AO9" i="7" s="1"/>
  <c r="AQ9" i="7" s="1"/>
  <c r="AW9" i="7" s="1"/>
  <c r="M294" i="7"/>
  <c r="U294" i="7"/>
  <c r="AC294" i="7"/>
  <c r="AK294" i="7"/>
  <c r="AS294" i="7"/>
  <c r="G296" i="7"/>
  <c r="H296" i="7" s="1"/>
  <c r="O296" i="7"/>
  <c r="P296" i="7" s="1"/>
  <c r="W296" i="7"/>
  <c r="X296" i="7" s="1"/>
  <c r="AE296" i="7"/>
  <c r="AF296" i="7" s="1"/>
  <c r="AM296" i="7"/>
  <c r="AN296" i="7" s="1"/>
  <c r="AU296" i="7"/>
  <c r="AV296" i="7" s="1"/>
  <c r="C297" i="7"/>
  <c r="I297" i="7" s="1"/>
  <c r="K297" i="7" s="1"/>
  <c r="Q297" i="7" s="1"/>
  <c r="S297" i="7" s="1"/>
  <c r="Y297" i="7" s="1"/>
  <c r="AA297" i="7" s="1"/>
  <c r="AG297" i="7" s="1"/>
  <c r="AI297" i="7" s="1"/>
  <c r="AO297" i="7" s="1"/>
  <c r="AQ297" i="7" s="1"/>
  <c r="AW297" i="7" s="1"/>
  <c r="H12" i="7"/>
  <c r="P12" i="7"/>
  <c r="X12" i="7"/>
  <c r="AF12" i="7"/>
  <c r="AN12" i="7"/>
  <c r="AV12" i="7"/>
  <c r="E298" i="7"/>
  <c r="I13" i="7"/>
  <c r="K13" i="7" s="1"/>
  <c r="Q13" i="7" s="1"/>
  <c r="S13" i="7" s="1"/>
  <c r="Y13" i="7" s="1"/>
  <c r="AA13" i="7" s="1"/>
  <c r="AG13" i="7" s="1"/>
  <c r="AI13" i="7" s="1"/>
  <c r="AO13" i="7" s="1"/>
  <c r="AQ13" i="7" s="1"/>
  <c r="AW13" i="7" s="1"/>
  <c r="M298" i="7"/>
  <c r="U298" i="7"/>
  <c r="AC298" i="7"/>
  <c r="AK298" i="7"/>
  <c r="AS298" i="7"/>
  <c r="G300" i="7"/>
  <c r="H300" i="7" s="1"/>
  <c r="O300" i="7"/>
  <c r="P300" i="7" s="1"/>
  <c r="W300" i="7"/>
  <c r="X300" i="7" s="1"/>
  <c r="AE300" i="7"/>
  <c r="AF300" i="7" s="1"/>
  <c r="AM300" i="7"/>
  <c r="AN300" i="7" s="1"/>
  <c r="AU300" i="7"/>
  <c r="AV300" i="7" s="1"/>
  <c r="C301" i="7"/>
  <c r="I301" i="7" s="1"/>
  <c r="K301" i="7" s="1"/>
  <c r="Q301" i="7" s="1"/>
  <c r="S301" i="7" s="1"/>
  <c r="Y301" i="7" s="1"/>
  <c r="AA301" i="7" s="1"/>
  <c r="AG301" i="7" s="1"/>
  <c r="AI301" i="7" s="1"/>
  <c r="AO301" i="7" s="1"/>
  <c r="AQ301" i="7" s="1"/>
  <c r="AW301" i="7" s="1"/>
  <c r="H16" i="7"/>
  <c r="P16" i="7"/>
  <c r="X16" i="7"/>
  <c r="AF16" i="7"/>
  <c r="AN16" i="7"/>
  <c r="AV16" i="7"/>
  <c r="E302" i="7"/>
  <c r="I17" i="7"/>
  <c r="K17" i="7" s="1"/>
  <c r="Q17" i="7" s="1"/>
  <c r="S17" i="7" s="1"/>
  <c r="Y17" i="7" s="1"/>
  <c r="AA17" i="7" s="1"/>
  <c r="AG17" i="7" s="1"/>
  <c r="AI17" i="7" s="1"/>
  <c r="AO17" i="7" s="1"/>
  <c r="AQ17" i="7" s="1"/>
  <c r="AW17" i="7" s="1"/>
  <c r="M302" i="7"/>
  <c r="U302" i="7"/>
  <c r="AC302" i="7"/>
  <c r="AK302" i="7"/>
  <c r="AS302" i="7"/>
  <c r="G304" i="7"/>
  <c r="H304" i="7" s="1"/>
  <c r="O304" i="7"/>
  <c r="P304" i="7" s="1"/>
  <c r="W304" i="7"/>
  <c r="X304" i="7" s="1"/>
  <c r="AE304" i="7"/>
  <c r="AF304" i="7" s="1"/>
  <c r="AM304" i="7"/>
  <c r="AN304" i="7" s="1"/>
  <c r="AU304" i="7"/>
  <c r="AV304" i="7" s="1"/>
  <c r="C305" i="7"/>
  <c r="I305" i="7" s="1"/>
  <c r="K305" i="7" s="1"/>
  <c r="Q305" i="7" s="1"/>
  <c r="S305" i="7" s="1"/>
  <c r="Y305" i="7" s="1"/>
  <c r="AA305" i="7" s="1"/>
  <c r="AG305" i="7" s="1"/>
  <c r="AI305" i="7" s="1"/>
  <c r="AO305" i="7" s="1"/>
  <c r="AQ305" i="7" s="1"/>
  <c r="AW305" i="7" s="1"/>
  <c r="H20" i="7"/>
  <c r="P20" i="7"/>
  <c r="X20" i="7"/>
  <c r="AF20" i="7"/>
  <c r="AN20" i="7"/>
  <c r="AV20" i="7"/>
  <c r="E306" i="7"/>
  <c r="I21" i="7"/>
  <c r="K21" i="7" s="1"/>
  <c r="Q21" i="7" s="1"/>
  <c r="S21" i="7" s="1"/>
  <c r="Y21" i="7" s="1"/>
  <c r="AA21" i="7" s="1"/>
  <c r="AG21" i="7" s="1"/>
  <c r="AI21" i="7" s="1"/>
  <c r="AO21" i="7" s="1"/>
  <c r="AQ21" i="7" s="1"/>
  <c r="AW21" i="7" s="1"/>
  <c r="M306" i="7"/>
  <c r="U306" i="7"/>
  <c r="AC306" i="7"/>
  <c r="AK306" i="7"/>
  <c r="AS306" i="7"/>
  <c r="G308" i="7"/>
  <c r="H308" i="7" s="1"/>
  <c r="O308" i="7"/>
  <c r="P308" i="7" s="1"/>
  <c r="W308" i="7"/>
  <c r="X308" i="7" s="1"/>
  <c r="AE308" i="7"/>
  <c r="AF308" i="7" s="1"/>
  <c r="AM308" i="7"/>
  <c r="AN308" i="7" s="1"/>
  <c r="AU308" i="7"/>
  <c r="AV308" i="7" s="1"/>
  <c r="C24" i="7"/>
  <c r="G24" i="7"/>
  <c r="O24" i="7"/>
  <c r="W24" i="7"/>
  <c r="AE24" i="7"/>
  <c r="AM24" i="7"/>
  <c r="AU24" i="7"/>
  <c r="H26" i="7"/>
  <c r="H43" i="7" s="1"/>
  <c r="P26" i="7"/>
  <c r="P43" i="7" s="1"/>
  <c r="X26" i="7"/>
  <c r="X43" i="7" s="1"/>
  <c r="AF26" i="7"/>
  <c r="AF43" i="7" s="1"/>
  <c r="AN26" i="7"/>
  <c r="AN43" i="7" s="1"/>
  <c r="AV26" i="7"/>
  <c r="AV43" i="7" s="1"/>
  <c r="I27" i="7"/>
  <c r="K27" i="7" s="1"/>
  <c r="Q27" i="7" s="1"/>
  <c r="S27" i="7" s="1"/>
  <c r="Y27" i="7" s="1"/>
  <c r="AA27" i="7" s="1"/>
  <c r="AG27" i="7" s="1"/>
  <c r="AI27" i="7" s="1"/>
  <c r="AO27" i="7" s="1"/>
  <c r="AQ27" i="7" s="1"/>
  <c r="AW27" i="7" s="1"/>
  <c r="F28" i="7"/>
  <c r="F32" i="7"/>
  <c r="F36" i="7"/>
  <c r="F40" i="7"/>
  <c r="M43" i="7"/>
  <c r="N28" i="7" s="1"/>
  <c r="N27" i="13" s="1"/>
  <c r="AS43" i="7"/>
  <c r="I45" i="7"/>
  <c r="C62" i="7"/>
  <c r="H62" i="7"/>
  <c r="X62" i="7"/>
  <c r="AN62" i="7"/>
  <c r="W9" i="10"/>
  <c r="V97" i="7"/>
  <c r="V96" i="13" s="1"/>
  <c r="V93" i="7"/>
  <c r="V92" i="13" s="1"/>
  <c r="V89" i="7"/>
  <c r="V88" i="13" s="1"/>
  <c r="V85" i="7"/>
  <c r="V84" i="13" s="1"/>
  <c r="V99" i="7"/>
  <c r="V98" i="13" s="1"/>
  <c r="V95" i="7"/>
  <c r="V94" i="13" s="1"/>
  <c r="V91" i="7"/>
  <c r="V90" i="13" s="1"/>
  <c r="V87" i="7"/>
  <c r="V86" i="13" s="1"/>
  <c r="V83" i="7"/>
  <c r="V82" i="13" s="1"/>
  <c r="W11" i="10"/>
  <c r="V154" i="7"/>
  <c r="V153" i="13" s="1"/>
  <c r="V150" i="7"/>
  <c r="V149" i="13" s="1"/>
  <c r="V146" i="7"/>
  <c r="V145" i="13" s="1"/>
  <c r="V142" i="7"/>
  <c r="V141" i="13" s="1"/>
  <c r="V156" i="7"/>
  <c r="V155" i="13" s="1"/>
  <c r="V152" i="7"/>
  <c r="V151" i="13" s="1"/>
  <c r="V148" i="7"/>
  <c r="V147" i="13" s="1"/>
  <c r="V144" i="7"/>
  <c r="V143" i="13" s="1"/>
  <c r="V140" i="7"/>
  <c r="V139" i="13" s="1"/>
  <c r="V156" i="13" s="1"/>
  <c r="C12" i="10"/>
  <c r="F172" i="7"/>
  <c r="F168" i="7"/>
  <c r="F164" i="7"/>
  <c r="F160" i="7"/>
  <c r="F174" i="7"/>
  <c r="F170" i="7"/>
  <c r="F166" i="7"/>
  <c r="F162" i="7"/>
  <c r="W12" i="10"/>
  <c r="V172" i="7"/>
  <c r="V171" i="13" s="1"/>
  <c r="V168" i="7"/>
  <c r="V167" i="13" s="1"/>
  <c r="V164" i="7"/>
  <c r="V163" i="13" s="1"/>
  <c r="V160" i="7"/>
  <c r="V159" i="13" s="1"/>
  <c r="V174" i="7"/>
  <c r="V173" i="13" s="1"/>
  <c r="V170" i="7"/>
  <c r="V169" i="13" s="1"/>
  <c r="V166" i="7"/>
  <c r="V165" i="13" s="1"/>
  <c r="V162" i="7"/>
  <c r="V161" i="13" s="1"/>
  <c r="AQ12" i="10"/>
  <c r="AL172" i="7"/>
  <c r="AL171" i="13" s="1"/>
  <c r="AL168" i="7"/>
  <c r="AL167" i="13" s="1"/>
  <c r="AL164" i="7"/>
  <c r="AL163" i="13" s="1"/>
  <c r="AL160" i="7"/>
  <c r="AL159" i="13" s="1"/>
  <c r="AL174" i="7"/>
  <c r="AL173" i="13" s="1"/>
  <c r="AL170" i="7"/>
  <c r="AL169" i="13" s="1"/>
  <c r="AL166" i="7"/>
  <c r="AL165" i="13" s="1"/>
  <c r="AL162" i="7"/>
  <c r="AL161" i="13" s="1"/>
  <c r="F161" i="7"/>
  <c r="V161" i="7"/>
  <c r="V160" i="13" s="1"/>
  <c r="AL161" i="7"/>
  <c r="AL160" i="13" s="1"/>
  <c r="V163" i="7"/>
  <c r="V162" i="13" s="1"/>
  <c r="AL163" i="7"/>
  <c r="AL162" i="13" s="1"/>
  <c r="F165" i="7"/>
  <c r="V165" i="7"/>
  <c r="V164" i="13" s="1"/>
  <c r="AL165" i="7"/>
  <c r="AL164" i="13" s="1"/>
  <c r="V167" i="7"/>
  <c r="V166" i="13" s="1"/>
  <c r="AL167" i="7"/>
  <c r="AL166" i="13" s="1"/>
  <c r="F169" i="7"/>
  <c r="V169" i="7"/>
  <c r="V168" i="13" s="1"/>
  <c r="AL169" i="7"/>
  <c r="AL168" i="13" s="1"/>
  <c r="V171" i="7"/>
  <c r="V170" i="13" s="1"/>
  <c r="AL171" i="7"/>
  <c r="AL170" i="13" s="1"/>
  <c r="F173" i="7"/>
  <c r="V173" i="7"/>
  <c r="V172" i="13" s="1"/>
  <c r="AL173" i="7"/>
  <c r="AL172" i="13" s="1"/>
  <c r="V175" i="7"/>
  <c r="V174" i="13" s="1"/>
  <c r="AL175" i="7"/>
  <c r="AL174" i="13" s="1"/>
  <c r="C13" i="10"/>
  <c r="F191" i="7"/>
  <c r="F187" i="7"/>
  <c r="F183" i="7"/>
  <c r="F182" i="13" s="1"/>
  <c r="F182" i="7"/>
  <c r="F178" i="7"/>
  <c r="F193" i="7"/>
  <c r="F189" i="7"/>
  <c r="F185" i="7"/>
  <c r="F180" i="7"/>
  <c r="AQ13" i="10"/>
  <c r="AL191" i="7"/>
  <c r="AL190" i="13" s="1"/>
  <c r="AL187" i="7"/>
  <c r="AL186" i="13" s="1"/>
  <c r="AL183" i="7"/>
  <c r="AL182" i="13" s="1"/>
  <c r="AL182" i="7"/>
  <c r="AL181" i="13" s="1"/>
  <c r="AL178" i="7"/>
  <c r="AL177" i="13" s="1"/>
  <c r="AL193" i="7"/>
  <c r="AL192" i="13" s="1"/>
  <c r="AL189" i="7"/>
  <c r="AL188" i="13" s="1"/>
  <c r="AL185" i="7"/>
  <c r="AL184" i="13" s="1"/>
  <c r="AL180" i="7"/>
  <c r="AL179" i="13" s="1"/>
  <c r="W14" i="10"/>
  <c r="V210" i="7"/>
  <c r="V209" i="13" s="1"/>
  <c r="V206" i="7"/>
  <c r="V205" i="13" s="1"/>
  <c r="V202" i="7"/>
  <c r="V201" i="13" s="1"/>
  <c r="V201" i="7"/>
  <c r="V200" i="13" s="1"/>
  <c r="V197" i="7"/>
  <c r="V196" i="13" s="1"/>
  <c r="V212" i="7"/>
  <c r="V211" i="13" s="1"/>
  <c r="V208" i="7"/>
  <c r="V207" i="13" s="1"/>
  <c r="V204" i="7"/>
  <c r="V203" i="13" s="1"/>
  <c r="V199" i="7"/>
  <c r="V198" i="13" s="1"/>
  <c r="C15" i="10"/>
  <c r="F229" i="7"/>
  <c r="F225" i="7"/>
  <c r="F221" i="7"/>
  <c r="F220" i="13" s="1"/>
  <c r="F220" i="7"/>
  <c r="F216" i="7"/>
  <c r="F231" i="7"/>
  <c r="F227" i="7"/>
  <c r="F223" i="7"/>
  <c r="F218" i="7"/>
  <c r="AQ15" i="10"/>
  <c r="AL229" i="7"/>
  <c r="AL228" i="13" s="1"/>
  <c r="AL225" i="7"/>
  <c r="AL224" i="13" s="1"/>
  <c r="AL221" i="7"/>
  <c r="AL220" i="13" s="1"/>
  <c r="AL220" i="7"/>
  <c r="AL219" i="13" s="1"/>
  <c r="AL216" i="7"/>
  <c r="AL215" i="13" s="1"/>
  <c r="AL231" i="7"/>
  <c r="AL230" i="13" s="1"/>
  <c r="AL227" i="7"/>
  <c r="AL226" i="13" s="1"/>
  <c r="AL223" i="7"/>
  <c r="AL222" i="13" s="1"/>
  <c r="AL218" i="7"/>
  <c r="AL217" i="13" s="1"/>
  <c r="N232" i="7"/>
  <c r="N231" i="13" s="1"/>
  <c r="AD232" i="7"/>
  <c r="AD231" i="13" s="1"/>
  <c r="AT232" i="7"/>
  <c r="AT231" i="13" s="1"/>
  <c r="K235" i="7"/>
  <c r="V236" i="7"/>
  <c r="V235" i="13" s="1"/>
  <c r="V243" i="7"/>
  <c r="V242" i="13" s="1"/>
  <c r="I20" i="7"/>
  <c r="K20" i="7" s="1"/>
  <c r="Q20" i="7" s="1"/>
  <c r="S20" i="7" s="1"/>
  <c r="Y20" i="7" s="1"/>
  <c r="AA20" i="7" s="1"/>
  <c r="AG20" i="7" s="1"/>
  <c r="AI20" i="7" s="1"/>
  <c r="AO20" i="7" s="1"/>
  <c r="AQ20" i="7" s="1"/>
  <c r="AW20" i="7" s="1"/>
  <c r="I308" i="7"/>
  <c r="K308" i="7" s="1"/>
  <c r="Q308" i="7" s="1"/>
  <c r="S308" i="7" s="1"/>
  <c r="Y308" i="7" s="1"/>
  <c r="AA308" i="7" s="1"/>
  <c r="AG308" i="7" s="1"/>
  <c r="AI308" i="7" s="1"/>
  <c r="AO308" i="7" s="1"/>
  <c r="AQ308" i="7" s="1"/>
  <c r="AW308" i="7" s="1"/>
  <c r="I26" i="7"/>
  <c r="I30" i="7"/>
  <c r="K30" i="7" s="1"/>
  <c r="Q30" i="7" s="1"/>
  <c r="S30" i="7" s="1"/>
  <c r="Y30" i="7" s="1"/>
  <c r="AA30" i="7" s="1"/>
  <c r="AG30" i="7" s="1"/>
  <c r="AI30" i="7" s="1"/>
  <c r="AO30" i="7" s="1"/>
  <c r="AQ30" i="7" s="1"/>
  <c r="AW30" i="7" s="1"/>
  <c r="I34" i="7"/>
  <c r="K34" i="7" s="1"/>
  <c r="Q34" i="7" s="1"/>
  <c r="S34" i="7" s="1"/>
  <c r="Y34" i="7" s="1"/>
  <c r="AA34" i="7" s="1"/>
  <c r="AG34" i="7" s="1"/>
  <c r="AI34" i="7" s="1"/>
  <c r="AO34" i="7" s="1"/>
  <c r="AQ34" i="7" s="1"/>
  <c r="AW34" i="7" s="1"/>
  <c r="I38" i="7"/>
  <c r="K38" i="7" s="1"/>
  <c r="Q38" i="7" s="1"/>
  <c r="S38" i="7" s="1"/>
  <c r="Y38" i="7" s="1"/>
  <c r="AA38" i="7" s="1"/>
  <c r="AG38" i="7" s="1"/>
  <c r="AI38" i="7" s="1"/>
  <c r="AO38" i="7" s="1"/>
  <c r="AQ38" i="7" s="1"/>
  <c r="AW38" i="7" s="1"/>
  <c r="U43" i="7"/>
  <c r="V32" i="7" s="1"/>
  <c r="V31" i="13" s="1"/>
  <c r="C7" i="10"/>
  <c r="F61" i="7"/>
  <c r="F57" i="7"/>
  <c r="F53" i="7"/>
  <c r="F59" i="7"/>
  <c r="F55" i="7"/>
  <c r="F51" i="7"/>
  <c r="W7" i="10"/>
  <c r="V61" i="7"/>
  <c r="V60" i="13" s="1"/>
  <c r="V57" i="7"/>
  <c r="V56" i="13" s="1"/>
  <c r="V53" i="7"/>
  <c r="V52" i="13" s="1"/>
  <c r="V59" i="7"/>
  <c r="V58" i="13" s="1"/>
  <c r="V55" i="7"/>
  <c r="V54" i="13" s="1"/>
  <c r="V51" i="7"/>
  <c r="V50" i="13" s="1"/>
  <c r="AQ7" i="10"/>
  <c r="AL61" i="7"/>
  <c r="AL60" i="13" s="1"/>
  <c r="AL57" i="7"/>
  <c r="AL56" i="13" s="1"/>
  <c r="AL53" i="7"/>
  <c r="AL52" i="13" s="1"/>
  <c r="AL59" i="7"/>
  <c r="AL58" i="13" s="1"/>
  <c r="AL55" i="7"/>
  <c r="AL54" i="13" s="1"/>
  <c r="AL51" i="7"/>
  <c r="AL50" i="13" s="1"/>
  <c r="F46" i="7"/>
  <c r="V46" i="7"/>
  <c r="V45" i="13" s="1"/>
  <c r="AL46" i="7"/>
  <c r="AL45" i="13" s="1"/>
  <c r="F48" i="7"/>
  <c r="V48" i="7"/>
  <c r="V47" i="13" s="1"/>
  <c r="AL48" i="7"/>
  <c r="AL47" i="13" s="1"/>
  <c r="F50" i="7"/>
  <c r="V50" i="7"/>
  <c r="V49" i="13" s="1"/>
  <c r="AL50" i="7"/>
  <c r="AL49" i="13" s="1"/>
  <c r="M9" i="10"/>
  <c r="N97" i="7"/>
  <c r="N96" i="13" s="1"/>
  <c r="N93" i="7"/>
  <c r="N92" i="13" s="1"/>
  <c r="N89" i="7"/>
  <c r="N88" i="13" s="1"/>
  <c r="N85" i="7"/>
  <c r="N84" i="13" s="1"/>
  <c r="N99" i="7"/>
  <c r="N98" i="13" s="1"/>
  <c r="N95" i="7"/>
  <c r="N94" i="13" s="1"/>
  <c r="N91" i="7"/>
  <c r="N90" i="13" s="1"/>
  <c r="N87" i="7"/>
  <c r="N86" i="13" s="1"/>
  <c r="N83" i="7"/>
  <c r="N82" i="13" s="1"/>
  <c r="BA9" i="10"/>
  <c r="AT97" i="7"/>
  <c r="AT96" i="13" s="1"/>
  <c r="AT93" i="7"/>
  <c r="AT92" i="13" s="1"/>
  <c r="AT89" i="7"/>
  <c r="AT88" i="13" s="1"/>
  <c r="AT85" i="7"/>
  <c r="AT84" i="13" s="1"/>
  <c r="AT99" i="7"/>
  <c r="AT98" i="13" s="1"/>
  <c r="AT95" i="7"/>
  <c r="AT94" i="13" s="1"/>
  <c r="AT91" i="7"/>
  <c r="AT90" i="13" s="1"/>
  <c r="AT87" i="7"/>
  <c r="AT86" i="13" s="1"/>
  <c r="AT83" i="7"/>
  <c r="AT82" i="13" s="1"/>
  <c r="F85" i="13"/>
  <c r="J86" i="7"/>
  <c r="L86" i="7" s="1"/>
  <c r="F89" i="13"/>
  <c r="J90" i="7"/>
  <c r="L90" i="7" s="1"/>
  <c r="F93" i="13"/>
  <c r="J94" i="7"/>
  <c r="L94" i="7" s="1"/>
  <c r="F97" i="13"/>
  <c r="J98" i="7"/>
  <c r="L98" i="7" s="1"/>
  <c r="M11" i="10"/>
  <c r="N154" i="7"/>
  <c r="N153" i="13" s="1"/>
  <c r="N150" i="7"/>
  <c r="N149" i="13" s="1"/>
  <c r="N146" i="7"/>
  <c r="N145" i="13" s="1"/>
  <c r="N142" i="7"/>
  <c r="N141" i="13" s="1"/>
  <c r="N156" i="7"/>
  <c r="N155" i="13" s="1"/>
  <c r="N152" i="7"/>
  <c r="N151" i="13" s="1"/>
  <c r="N148" i="7"/>
  <c r="N147" i="13" s="1"/>
  <c r="N144" i="7"/>
  <c r="N143" i="13" s="1"/>
  <c r="N140" i="7"/>
  <c r="N139" i="13" s="1"/>
  <c r="BA11" i="10"/>
  <c r="AT154" i="7"/>
  <c r="AT153" i="13" s="1"/>
  <c r="AT150" i="7"/>
  <c r="AT149" i="13" s="1"/>
  <c r="AT146" i="7"/>
  <c r="AT145" i="13" s="1"/>
  <c r="AT142" i="7"/>
  <c r="AT141" i="13" s="1"/>
  <c r="AT156" i="7"/>
  <c r="AT155" i="13" s="1"/>
  <c r="AT152" i="7"/>
  <c r="AT151" i="13" s="1"/>
  <c r="AT148" i="7"/>
  <c r="AT147" i="13" s="1"/>
  <c r="AT144" i="7"/>
  <c r="AT143" i="13" s="1"/>
  <c r="AT140" i="7"/>
  <c r="AT139" i="13" s="1"/>
  <c r="F142" i="13"/>
  <c r="J143" i="7"/>
  <c r="L143" i="7" s="1"/>
  <c r="F146" i="13"/>
  <c r="J147" i="7"/>
  <c r="L147" i="7" s="1"/>
  <c r="F150" i="13"/>
  <c r="J151" i="7"/>
  <c r="L151" i="7" s="1"/>
  <c r="F154" i="13"/>
  <c r="J155" i="7"/>
  <c r="L155" i="7" s="1"/>
  <c r="AG13" i="10"/>
  <c r="AD191" i="7"/>
  <c r="AD190" i="13" s="1"/>
  <c r="AD187" i="7"/>
  <c r="AD186" i="13" s="1"/>
  <c r="AD183" i="7"/>
  <c r="AD182" i="13" s="1"/>
  <c r="AD182" i="7"/>
  <c r="AD181" i="13" s="1"/>
  <c r="AD178" i="7"/>
  <c r="AD177" i="13" s="1"/>
  <c r="AD193" i="7"/>
  <c r="AD192" i="13" s="1"/>
  <c r="AD189" i="7"/>
  <c r="AD188" i="13" s="1"/>
  <c r="AD185" i="7"/>
  <c r="AD184" i="13" s="1"/>
  <c r="AD180" i="7"/>
  <c r="AD179" i="13" s="1"/>
  <c r="N179" i="7"/>
  <c r="N178" i="13" s="1"/>
  <c r="AD179" i="7"/>
  <c r="AD178" i="13" s="1"/>
  <c r="AT179" i="7"/>
  <c r="AT178" i="13" s="1"/>
  <c r="N181" i="7"/>
  <c r="N180" i="13" s="1"/>
  <c r="AD181" i="7"/>
  <c r="AD180" i="13" s="1"/>
  <c r="AT181" i="7"/>
  <c r="AT180" i="13" s="1"/>
  <c r="N184" i="7"/>
  <c r="N183" i="13" s="1"/>
  <c r="AD184" i="7"/>
  <c r="AD183" i="13" s="1"/>
  <c r="AT184" i="7"/>
  <c r="AT183" i="13" s="1"/>
  <c r="N186" i="7"/>
  <c r="N185" i="13" s="1"/>
  <c r="AD186" i="7"/>
  <c r="AD185" i="13" s="1"/>
  <c r="AT186" i="7"/>
  <c r="AT185" i="13" s="1"/>
  <c r="N188" i="7"/>
  <c r="N187" i="13" s="1"/>
  <c r="AD188" i="7"/>
  <c r="AD187" i="13" s="1"/>
  <c r="AT188" i="7"/>
  <c r="AT187" i="13" s="1"/>
  <c r="N190" i="7"/>
  <c r="N189" i="13" s="1"/>
  <c r="AD190" i="7"/>
  <c r="AD189" i="13" s="1"/>
  <c r="AT190" i="7"/>
  <c r="AT189" i="13" s="1"/>
  <c r="N192" i="7"/>
  <c r="N191" i="13" s="1"/>
  <c r="AD192" i="7"/>
  <c r="AD191" i="13" s="1"/>
  <c r="AT192" i="7"/>
  <c r="AT191" i="13" s="1"/>
  <c r="N194" i="7"/>
  <c r="N193" i="13" s="1"/>
  <c r="AD194" i="7"/>
  <c r="AD193" i="13" s="1"/>
  <c r="AT194" i="7"/>
  <c r="AT193" i="13" s="1"/>
  <c r="K197" i="7"/>
  <c r="M14" i="10"/>
  <c r="N210" i="7"/>
  <c r="N209" i="13" s="1"/>
  <c r="N206" i="7"/>
  <c r="N205" i="13" s="1"/>
  <c r="N202" i="7"/>
  <c r="N201" i="13" s="1"/>
  <c r="N201" i="7"/>
  <c r="N200" i="13" s="1"/>
  <c r="N197" i="7"/>
  <c r="N196" i="13" s="1"/>
  <c r="N212" i="7"/>
  <c r="N211" i="13" s="1"/>
  <c r="N208" i="7"/>
  <c r="N207" i="13" s="1"/>
  <c r="N204" i="7"/>
  <c r="N203" i="13" s="1"/>
  <c r="N199" i="7"/>
  <c r="N198" i="13" s="1"/>
  <c r="BA14" i="10"/>
  <c r="AT210" i="7"/>
  <c r="AT209" i="13" s="1"/>
  <c r="AT206" i="7"/>
  <c r="AT205" i="13" s="1"/>
  <c r="AT202" i="7"/>
  <c r="AT201" i="13" s="1"/>
  <c r="AT201" i="7"/>
  <c r="AT200" i="13" s="1"/>
  <c r="AT197" i="7"/>
  <c r="AT196" i="13" s="1"/>
  <c r="AT212" i="7"/>
  <c r="AT211" i="13" s="1"/>
  <c r="AT208" i="7"/>
  <c r="AT207" i="13" s="1"/>
  <c r="AT204" i="7"/>
  <c r="AT203" i="13" s="1"/>
  <c r="AT199" i="7"/>
  <c r="AT198" i="13" s="1"/>
  <c r="F197" i="13"/>
  <c r="J198" i="7"/>
  <c r="L198" i="7" s="1"/>
  <c r="F202" i="13"/>
  <c r="J203" i="7"/>
  <c r="L203" i="7" s="1"/>
  <c r="F206" i="13"/>
  <c r="J207" i="7"/>
  <c r="L207" i="7" s="1"/>
  <c r="F210" i="13"/>
  <c r="J211" i="7"/>
  <c r="L211" i="7" s="1"/>
  <c r="AG15" i="10"/>
  <c r="AD229" i="7"/>
  <c r="AD228" i="13" s="1"/>
  <c r="AD225" i="7"/>
  <c r="AD224" i="13" s="1"/>
  <c r="AD221" i="7"/>
  <c r="AD220" i="13" s="1"/>
  <c r="AD220" i="7"/>
  <c r="AD219" i="13" s="1"/>
  <c r="AD216" i="7"/>
  <c r="AD215" i="13" s="1"/>
  <c r="AD231" i="7"/>
  <c r="AD230" i="13" s="1"/>
  <c r="AD227" i="7"/>
  <c r="AD226" i="13" s="1"/>
  <c r="AD223" i="7"/>
  <c r="AD222" i="13" s="1"/>
  <c r="AD218" i="7"/>
  <c r="AD217" i="13" s="1"/>
  <c r="N217" i="7"/>
  <c r="N216" i="13" s="1"/>
  <c r="AD217" i="7"/>
  <c r="AD216" i="13" s="1"/>
  <c r="AT217" i="7"/>
  <c r="AT216" i="13" s="1"/>
  <c r="N219" i="7"/>
  <c r="N218" i="13" s="1"/>
  <c r="AD219" i="7"/>
  <c r="AD218" i="13" s="1"/>
  <c r="AT219" i="7"/>
  <c r="AT218" i="13" s="1"/>
  <c r="N222" i="7"/>
  <c r="N221" i="13" s="1"/>
  <c r="AD222" i="7"/>
  <c r="AD221" i="13" s="1"/>
  <c r="AT222" i="7"/>
  <c r="AT221" i="13" s="1"/>
  <c r="N224" i="7"/>
  <c r="N223" i="13" s="1"/>
  <c r="AD224" i="7"/>
  <c r="AD223" i="13" s="1"/>
  <c r="AT224" i="7"/>
  <c r="AT223" i="13" s="1"/>
  <c r="N226" i="7"/>
  <c r="N225" i="13" s="1"/>
  <c r="AD226" i="7"/>
  <c r="AD225" i="13" s="1"/>
  <c r="AT226" i="7"/>
  <c r="AT225" i="13" s="1"/>
  <c r="N228" i="7"/>
  <c r="N227" i="13" s="1"/>
  <c r="AD228" i="7"/>
  <c r="AD227" i="13" s="1"/>
  <c r="AT228" i="7"/>
  <c r="AT227" i="13" s="1"/>
  <c r="N230" i="7"/>
  <c r="N229" i="13" s="1"/>
  <c r="AD230" i="7"/>
  <c r="AD229" i="13" s="1"/>
  <c r="AT230" i="7"/>
  <c r="AT229" i="13" s="1"/>
  <c r="V239" i="7"/>
  <c r="V238" i="13" s="1"/>
  <c r="V240" i="7"/>
  <c r="V239" i="13" s="1"/>
  <c r="I8" i="7"/>
  <c r="K8" i="7" s="1"/>
  <c r="Q8" i="7" s="1"/>
  <c r="S8" i="7" s="1"/>
  <c r="Y8" i="7" s="1"/>
  <c r="AA8" i="7" s="1"/>
  <c r="AG8" i="7" s="1"/>
  <c r="AI8" i="7" s="1"/>
  <c r="AO8" i="7" s="1"/>
  <c r="AQ8" i="7" s="1"/>
  <c r="AW8" i="7" s="1"/>
  <c r="I12" i="7"/>
  <c r="K12" i="7" s="1"/>
  <c r="Q12" i="7" s="1"/>
  <c r="S12" i="7" s="1"/>
  <c r="Y12" i="7" s="1"/>
  <c r="AA12" i="7" s="1"/>
  <c r="AG12" i="7" s="1"/>
  <c r="AI12" i="7" s="1"/>
  <c r="AO12" i="7" s="1"/>
  <c r="AQ12" i="7" s="1"/>
  <c r="AW12" i="7" s="1"/>
  <c r="I16" i="7"/>
  <c r="K16" i="7" s="1"/>
  <c r="Q16" i="7" s="1"/>
  <c r="S16" i="7" s="1"/>
  <c r="Y16" i="7" s="1"/>
  <c r="AA16" i="7" s="1"/>
  <c r="AG16" i="7" s="1"/>
  <c r="AI16" i="7" s="1"/>
  <c r="AO16" i="7" s="1"/>
  <c r="AQ16" i="7" s="1"/>
  <c r="AW16" i="7" s="1"/>
  <c r="E21" i="5"/>
  <c r="E292" i="7"/>
  <c r="I7" i="7"/>
  <c r="M292" i="7"/>
  <c r="U292" i="7"/>
  <c r="AC292" i="7"/>
  <c r="AK292" i="7"/>
  <c r="AS292" i="7"/>
  <c r="G294" i="7"/>
  <c r="H294" i="7" s="1"/>
  <c r="O294" i="7"/>
  <c r="P294" i="7" s="1"/>
  <c r="W294" i="7"/>
  <c r="X294" i="7" s="1"/>
  <c r="AE294" i="7"/>
  <c r="AF294" i="7" s="1"/>
  <c r="AM294" i="7"/>
  <c r="AN294" i="7" s="1"/>
  <c r="AU294" i="7"/>
  <c r="AV294" i="7" s="1"/>
  <c r="C295" i="7"/>
  <c r="I295" i="7" s="1"/>
  <c r="K295" i="7" s="1"/>
  <c r="Q295" i="7" s="1"/>
  <c r="S295" i="7" s="1"/>
  <c r="Y295" i="7" s="1"/>
  <c r="AA295" i="7" s="1"/>
  <c r="AG295" i="7" s="1"/>
  <c r="AI295" i="7" s="1"/>
  <c r="AO295" i="7" s="1"/>
  <c r="AQ295" i="7" s="1"/>
  <c r="AW295" i="7" s="1"/>
  <c r="H10" i="7"/>
  <c r="P10" i="7"/>
  <c r="X10" i="7"/>
  <c r="AF10" i="7"/>
  <c r="AN10" i="7"/>
  <c r="AN24" i="7" s="1"/>
  <c r="AV10" i="7"/>
  <c r="E296" i="7"/>
  <c r="I296" i="7" s="1"/>
  <c r="K296" i="7" s="1"/>
  <c r="Q296" i="7" s="1"/>
  <c r="S296" i="7" s="1"/>
  <c r="Y296" i="7" s="1"/>
  <c r="AA296" i="7" s="1"/>
  <c r="AG296" i="7" s="1"/>
  <c r="AI296" i="7" s="1"/>
  <c r="AO296" i="7" s="1"/>
  <c r="AQ296" i="7" s="1"/>
  <c r="AW296" i="7" s="1"/>
  <c r="I11" i="7"/>
  <c r="K11" i="7" s="1"/>
  <c r="Q11" i="7" s="1"/>
  <c r="S11" i="7" s="1"/>
  <c r="Y11" i="7" s="1"/>
  <c r="AA11" i="7" s="1"/>
  <c r="AG11" i="7" s="1"/>
  <c r="AI11" i="7" s="1"/>
  <c r="AO11" i="7" s="1"/>
  <c r="AQ11" i="7" s="1"/>
  <c r="AW11" i="7" s="1"/>
  <c r="M296" i="7"/>
  <c r="U296" i="7"/>
  <c r="AC296" i="7"/>
  <c r="AK296" i="7"/>
  <c r="AS296" i="7"/>
  <c r="G298" i="7"/>
  <c r="H298" i="7" s="1"/>
  <c r="O298" i="7"/>
  <c r="P298" i="7" s="1"/>
  <c r="W298" i="7"/>
  <c r="X298" i="7" s="1"/>
  <c r="AE298" i="7"/>
  <c r="AF298" i="7" s="1"/>
  <c r="AM298" i="7"/>
  <c r="AN298" i="7" s="1"/>
  <c r="AU298" i="7"/>
  <c r="AV298" i="7" s="1"/>
  <c r="C299" i="7"/>
  <c r="I299" i="7" s="1"/>
  <c r="K299" i="7" s="1"/>
  <c r="Q299" i="7" s="1"/>
  <c r="S299" i="7" s="1"/>
  <c r="Y299" i="7" s="1"/>
  <c r="AA299" i="7" s="1"/>
  <c r="AG299" i="7" s="1"/>
  <c r="AI299" i="7" s="1"/>
  <c r="AO299" i="7" s="1"/>
  <c r="AQ299" i="7" s="1"/>
  <c r="AW299" i="7" s="1"/>
  <c r="H14" i="7"/>
  <c r="P14" i="7"/>
  <c r="X14" i="7"/>
  <c r="AF14" i="7"/>
  <c r="AN14" i="7"/>
  <c r="AV14" i="7"/>
  <c r="E300" i="7"/>
  <c r="I300" i="7" s="1"/>
  <c r="K300" i="7" s="1"/>
  <c r="Q300" i="7" s="1"/>
  <c r="S300" i="7" s="1"/>
  <c r="Y300" i="7" s="1"/>
  <c r="AA300" i="7" s="1"/>
  <c r="AG300" i="7" s="1"/>
  <c r="AI300" i="7" s="1"/>
  <c r="AO300" i="7" s="1"/>
  <c r="AQ300" i="7" s="1"/>
  <c r="AW300" i="7" s="1"/>
  <c r="I15" i="7"/>
  <c r="K15" i="7" s="1"/>
  <c r="Q15" i="7" s="1"/>
  <c r="S15" i="7" s="1"/>
  <c r="Y15" i="7" s="1"/>
  <c r="AA15" i="7" s="1"/>
  <c r="AG15" i="7" s="1"/>
  <c r="AI15" i="7" s="1"/>
  <c r="AO15" i="7" s="1"/>
  <c r="AQ15" i="7" s="1"/>
  <c r="AW15" i="7" s="1"/>
  <c r="M300" i="7"/>
  <c r="U300" i="7"/>
  <c r="AC300" i="7"/>
  <c r="AK300" i="7"/>
  <c r="AS300" i="7"/>
  <c r="G302" i="7"/>
  <c r="H302" i="7" s="1"/>
  <c r="O302" i="7"/>
  <c r="P302" i="7" s="1"/>
  <c r="W302" i="7"/>
  <c r="X302" i="7" s="1"/>
  <c r="AE302" i="7"/>
  <c r="AF302" i="7" s="1"/>
  <c r="AM302" i="7"/>
  <c r="AN302" i="7" s="1"/>
  <c r="AU302" i="7"/>
  <c r="AV302" i="7" s="1"/>
  <c r="C303" i="7"/>
  <c r="I303" i="7" s="1"/>
  <c r="K303" i="7" s="1"/>
  <c r="Q303" i="7" s="1"/>
  <c r="S303" i="7" s="1"/>
  <c r="Y303" i="7" s="1"/>
  <c r="AA303" i="7" s="1"/>
  <c r="AG303" i="7" s="1"/>
  <c r="AI303" i="7" s="1"/>
  <c r="AO303" i="7" s="1"/>
  <c r="AQ303" i="7" s="1"/>
  <c r="AW303" i="7" s="1"/>
  <c r="H18" i="7"/>
  <c r="P18" i="7"/>
  <c r="X18" i="7"/>
  <c r="AF18" i="7"/>
  <c r="AN18" i="7"/>
  <c r="AV18" i="7"/>
  <c r="E304" i="7"/>
  <c r="I304" i="7" s="1"/>
  <c r="K304" i="7" s="1"/>
  <c r="Q304" i="7" s="1"/>
  <c r="S304" i="7" s="1"/>
  <c r="Y304" i="7" s="1"/>
  <c r="AA304" i="7" s="1"/>
  <c r="AG304" i="7" s="1"/>
  <c r="AI304" i="7" s="1"/>
  <c r="AO304" i="7" s="1"/>
  <c r="AQ304" i="7" s="1"/>
  <c r="AW304" i="7" s="1"/>
  <c r="I19" i="7"/>
  <c r="K19" i="7" s="1"/>
  <c r="Q19" i="7" s="1"/>
  <c r="S19" i="7" s="1"/>
  <c r="Y19" i="7" s="1"/>
  <c r="AA19" i="7" s="1"/>
  <c r="AG19" i="7" s="1"/>
  <c r="AI19" i="7" s="1"/>
  <c r="AO19" i="7" s="1"/>
  <c r="AQ19" i="7" s="1"/>
  <c r="AW19" i="7" s="1"/>
  <c r="M304" i="7"/>
  <c r="U304" i="7"/>
  <c r="AC304" i="7"/>
  <c r="AK304" i="7"/>
  <c r="AS304" i="7"/>
  <c r="G306" i="7"/>
  <c r="H306" i="7" s="1"/>
  <c r="O306" i="7"/>
  <c r="P306" i="7" s="1"/>
  <c r="W306" i="7"/>
  <c r="X306" i="7" s="1"/>
  <c r="AE306" i="7"/>
  <c r="AF306" i="7" s="1"/>
  <c r="AM306" i="7"/>
  <c r="AN306" i="7" s="1"/>
  <c r="AU306" i="7"/>
  <c r="AV306" i="7" s="1"/>
  <c r="C307" i="7"/>
  <c r="I307" i="7" s="1"/>
  <c r="K307" i="7" s="1"/>
  <c r="Q307" i="7" s="1"/>
  <c r="S307" i="7" s="1"/>
  <c r="Y307" i="7" s="1"/>
  <c r="AA307" i="7" s="1"/>
  <c r="AG307" i="7" s="1"/>
  <c r="AI307" i="7" s="1"/>
  <c r="AO307" i="7" s="1"/>
  <c r="AQ307" i="7" s="1"/>
  <c r="AW307" i="7" s="1"/>
  <c r="H22" i="7"/>
  <c r="P22" i="7"/>
  <c r="X22" i="7"/>
  <c r="AF22" i="7"/>
  <c r="AN22" i="7"/>
  <c r="AV22" i="7"/>
  <c r="I23" i="7"/>
  <c r="K23" i="7" s="1"/>
  <c r="Q23" i="7" s="1"/>
  <c r="S23" i="7" s="1"/>
  <c r="Y23" i="7" s="1"/>
  <c r="AA23" i="7" s="1"/>
  <c r="AG23" i="7" s="1"/>
  <c r="AI23" i="7" s="1"/>
  <c r="AO23" i="7" s="1"/>
  <c r="AQ23" i="7" s="1"/>
  <c r="AW23" i="7" s="1"/>
  <c r="E24" i="7"/>
  <c r="M24" i="7"/>
  <c r="N14" i="7" s="1"/>
  <c r="U24" i="7"/>
  <c r="V14" i="7" s="1"/>
  <c r="AC24" i="7"/>
  <c r="AD14" i="7" s="1"/>
  <c r="AK24" i="7"/>
  <c r="AS24" i="7"/>
  <c r="AT14" i="7" s="1"/>
  <c r="F26" i="7"/>
  <c r="AD26" i="7"/>
  <c r="AD25" i="13" s="1"/>
  <c r="AD42" i="13" s="1"/>
  <c r="AL26" i="7"/>
  <c r="AL25" i="13" s="1"/>
  <c r="F42" i="7"/>
  <c r="N42" i="7"/>
  <c r="N41" i="13" s="1"/>
  <c r="V42" i="7"/>
  <c r="V41" i="13" s="1"/>
  <c r="AD42" i="7"/>
  <c r="AD41" i="13" s="1"/>
  <c r="AL42" i="7"/>
  <c r="AL41" i="13" s="1"/>
  <c r="AT42" i="7"/>
  <c r="AT41" i="13" s="1"/>
  <c r="F45" i="7"/>
  <c r="V45" i="7"/>
  <c r="V44" i="13" s="1"/>
  <c r="AL45" i="7"/>
  <c r="AL44" i="13" s="1"/>
  <c r="F47" i="7"/>
  <c r="V47" i="7"/>
  <c r="V46" i="13" s="1"/>
  <c r="AL47" i="7"/>
  <c r="AL46" i="13" s="1"/>
  <c r="F49" i="7"/>
  <c r="V49" i="7"/>
  <c r="V48" i="13" s="1"/>
  <c r="AL49" i="7"/>
  <c r="AL48" i="13" s="1"/>
  <c r="C9" i="10"/>
  <c r="F97" i="7"/>
  <c r="F93" i="7"/>
  <c r="F89" i="7"/>
  <c r="F85" i="7"/>
  <c r="F99" i="7"/>
  <c r="F95" i="7"/>
  <c r="F91" i="7"/>
  <c r="F87" i="7"/>
  <c r="F83" i="7"/>
  <c r="AQ9" i="10"/>
  <c r="AL97" i="7"/>
  <c r="AL96" i="13" s="1"/>
  <c r="AL93" i="7"/>
  <c r="AL92" i="13" s="1"/>
  <c r="AL89" i="7"/>
  <c r="AL88" i="13" s="1"/>
  <c r="AL85" i="7"/>
  <c r="AL84" i="13" s="1"/>
  <c r="AL99" i="7"/>
  <c r="AL98" i="13" s="1"/>
  <c r="AL95" i="7"/>
  <c r="AL94" i="13" s="1"/>
  <c r="AL91" i="7"/>
  <c r="AL90" i="13" s="1"/>
  <c r="AL87" i="7"/>
  <c r="AL86" i="13" s="1"/>
  <c r="AL83" i="7"/>
  <c r="AL82" i="13" s="1"/>
  <c r="J119" i="7"/>
  <c r="C11" i="10"/>
  <c r="F154" i="7"/>
  <c r="F150" i="7"/>
  <c r="F146" i="7"/>
  <c r="F142" i="7"/>
  <c r="F156" i="7"/>
  <c r="F152" i="7"/>
  <c r="F148" i="7"/>
  <c r="F144" i="7"/>
  <c r="F140" i="7"/>
  <c r="AQ11" i="10"/>
  <c r="AL154" i="7"/>
  <c r="AL153" i="13" s="1"/>
  <c r="AL150" i="7"/>
  <c r="AL149" i="13" s="1"/>
  <c r="AL146" i="7"/>
  <c r="AL145" i="13" s="1"/>
  <c r="AL142" i="7"/>
  <c r="AL141" i="13" s="1"/>
  <c r="AL156" i="7"/>
  <c r="AL155" i="13" s="1"/>
  <c r="AL152" i="7"/>
  <c r="AL151" i="13" s="1"/>
  <c r="AL148" i="7"/>
  <c r="AL147" i="13" s="1"/>
  <c r="AL144" i="7"/>
  <c r="AL143" i="13" s="1"/>
  <c r="AL140" i="7"/>
  <c r="AL139" i="13" s="1"/>
  <c r="M12" i="10"/>
  <c r="N172" i="7"/>
  <c r="N171" i="13" s="1"/>
  <c r="N168" i="7"/>
  <c r="N167" i="13" s="1"/>
  <c r="N164" i="7"/>
  <c r="N163" i="13" s="1"/>
  <c r="N160" i="7"/>
  <c r="N159" i="13" s="1"/>
  <c r="N174" i="7"/>
  <c r="N173" i="13" s="1"/>
  <c r="N170" i="7"/>
  <c r="N169" i="13" s="1"/>
  <c r="N166" i="7"/>
  <c r="N165" i="13" s="1"/>
  <c r="N162" i="7"/>
  <c r="N161" i="13" s="1"/>
  <c r="AG12" i="10"/>
  <c r="AD172" i="7"/>
  <c r="AD171" i="13" s="1"/>
  <c r="AD168" i="7"/>
  <c r="AD167" i="13" s="1"/>
  <c r="AD164" i="7"/>
  <c r="AD163" i="13" s="1"/>
  <c r="AD160" i="7"/>
  <c r="AD159" i="13" s="1"/>
  <c r="AD174" i="7"/>
  <c r="AD173" i="13" s="1"/>
  <c r="AD170" i="7"/>
  <c r="AD169" i="13" s="1"/>
  <c r="AD166" i="7"/>
  <c r="AD165" i="13" s="1"/>
  <c r="AD162" i="7"/>
  <c r="AD161" i="13" s="1"/>
  <c r="BA12" i="10"/>
  <c r="AT172" i="7"/>
  <c r="AT171" i="13" s="1"/>
  <c r="AT168" i="7"/>
  <c r="AT167" i="13" s="1"/>
  <c r="AT164" i="7"/>
  <c r="AT163" i="13" s="1"/>
  <c r="AT160" i="7"/>
  <c r="AT159" i="13" s="1"/>
  <c r="AT174" i="7"/>
  <c r="AT173" i="13" s="1"/>
  <c r="AT170" i="7"/>
  <c r="AT169" i="13" s="1"/>
  <c r="AT166" i="7"/>
  <c r="AT165" i="13" s="1"/>
  <c r="AT162" i="7"/>
  <c r="AT161" i="13" s="1"/>
  <c r="N161" i="7"/>
  <c r="N160" i="13" s="1"/>
  <c r="AD161" i="7"/>
  <c r="AD160" i="13" s="1"/>
  <c r="AT161" i="7"/>
  <c r="AT160" i="13" s="1"/>
  <c r="N163" i="7"/>
  <c r="N162" i="13" s="1"/>
  <c r="AD163" i="7"/>
  <c r="AD162" i="13" s="1"/>
  <c r="AT163" i="7"/>
  <c r="AT162" i="13" s="1"/>
  <c r="N165" i="7"/>
  <c r="N164" i="13" s="1"/>
  <c r="AD165" i="7"/>
  <c r="AD164" i="13" s="1"/>
  <c r="AT165" i="7"/>
  <c r="AT164" i="13" s="1"/>
  <c r="N167" i="7"/>
  <c r="N166" i="13" s="1"/>
  <c r="AD167" i="7"/>
  <c r="AD166" i="13" s="1"/>
  <c r="AT167" i="7"/>
  <c r="AT166" i="13" s="1"/>
  <c r="N169" i="7"/>
  <c r="N168" i="13" s="1"/>
  <c r="AD169" i="7"/>
  <c r="AD168" i="13" s="1"/>
  <c r="AT169" i="7"/>
  <c r="AT168" i="13" s="1"/>
  <c r="N171" i="7"/>
  <c r="N170" i="13" s="1"/>
  <c r="AD171" i="7"/>
  <c r="AD170" i="13" s="1"/>
  <c r="AT171" i="7"/>
  <c r="AT170" i="13" s="1"/>
  <c r="N173" i="7"/>
  <c r="N172" i="13" s="1"/>
  <c r="AD173" i="7"/>
  <c r="AD172" i="13" s="1"/>
  <c r="AT173" i="7"/>
  <c r="AT172" i="13" s="1"/>
  <c r="N175" i="7"/>
  <c r="N174" i="13" s="1"/>
  <c r="AD175" i="7"/>
  <c r="AD174" i="13" s="1"/>
  <c r="AT175" i="7"/>
  <c r="AT174" i="13" s="1"/>
  <c r="H195" i="7"/>
  <c r="W13" i="10"/>
  <c r="V191" i="7"/>
  <c r="V190" i="13" s="1"/>
  <c r="V187" i="7"/>
  <c r="V186" i="13" s="1"/>
  <c r="V183" i="7"/>
  <c r="V182" i="13" s="1"/>
  <c r="V182" i="7"/>
  <c r="V181" i="13" s="1"/>
  <c r="V178" i="7"/>
  <c r="V177" i="13" s="1"/>
  <c r="V193" i="7"/>
  <c r="V192" i="13" s="1"/>
  <c r="V189" i="7"/>
  <c r="V188" i="13" s="1"/>
  <c r="V185" i="7"/>
  <c r="V184" i="13" s="1"/>
  <c r="V180" i="7"/>
  <c r="V179" i="13" s="1"/>
  <c r="AN195" i="7"/>
  <c r="C14" i="10"/>
  <c r="F210" i="7"/>
  <c r="F206" i="7"/>
  <c r="F202" i="7"/>
  <c r="F201" i="13" s="1"/>
  <c r="F201" i="7"/>
  <c r="F197" i="7"/>
  <c r="F212" i="7"/>
  <c r="F208" i="7"/>
  <c r="F204" i="7"/>
  <c r="F199" i="7"/>
  <c r="AQ14" i="10"/>
  <c r="AL210" i="7"/>
  <c r="AL209" i="13" s="1"/>
  <c r="AL206" i="7"/>
  <c r="AL205" i="13" s="1"/>
  <c r="AL202" i="7"/>
  <c r="AL201" i="13" s="1"/>
  <c r="AL201" i="7"/>
  <c r="AL200" i="13" s="1"/>
  <c r="AL197" i="7"/>
  <c r="AL196" i="13" s="1"/>
  <c r="AL212" i="7"/>
  <c r="AL211" i="13" s="1"/>
  <c r="AL208" i="7"/>
  <c r="AL207" i="13" s="1"/>
  <c r="AL204" i="7"/>
  <c r="AL203" i="13" s="1"/>
  <c r="AL199" i="7"/>
  <c r="AL198" i="13" s="1"/>
  <c r="H233" i="7"/>
  <c r="W15" i="10"/>
  <c r="V229" i="7"/>
  <c r="V228" i="13" s="1"/>
  <c r="V225" i="7"/>
  <c r="V224" i="13" s="1"/>
  <c r="V221" i="7"/>
  <c r="V220" i="13" s="1"/>
  <c r="V220" i="7"/>
  <c r="V219" i="13" s="1"/>
  <c r="V216" i="7"/>
  <c r="V215" i="13" s="1"/>
  <c r="V231" i="7"/>
  <c r="V230" i="13" s="1"/>
  <c r="V227" i="7"/>
  <c r="V226" i="13" s="1"/>
  <c r="V223" i="7"/>
  <c r="V222" i="13" s="1"/>
  <c r="V218" i="7"/>
  <c r="V217" i="13" s="1"/>
  <c r="AN233" i="7"/>
  <c r="F232" i="7"/>
  <c r="V232" i="7"/>
  <c r="V231" i="13" s="1"/>
  <c r="AL232" i="7"/>
  <c r="AL231" i="13" s="1"/>
  <c r="V238" i="7"/>
  <c r="V237" i="13" s="1"/>
  <c r="V241" i="7"/>
  <c r="V240" i="13" s="1"/>
  <c r="I294" i="7"/>
  <c r="K294" i="7" s="1"/>
  <c r="Q294" i="7" s="1"/>
  <c r="S294" i="7" s="1"/>
  <c r="Y294" i="7" s="1"/>
  <c r="AA294" i="7" s="1"/>
  <c r="AG294" i="7" s="1"/>
  <c r="AI294" i="7" s="1"/>
  <c r="AO294" i="7" s="1"/>
  <c r="AQ294" i="7" s="1"/>
  <c r="AW294" i="7" s="1"/>
  <c r="I298" i="7"/>
  <c r="K298" i="7" s="1"/>
  <c r="Q298" i="7" s="1"/>
  <c r="S298" i="7" s="1"/>
  <c r="Y298" i="7" s="1"/>
  <c r="AA298" i="7" s="1"/>
  <c r="AG298" i="7" s="1"/>
  <c r="AI298" i="7" s="1"/>
  <c r="AO298" i="7" s="1"/>
  <c r="AQ298" i="7" s="1"/>
  <c r="AW298" i="7" s="1"/>
  <c r="I302" i="7"/>
  <c r="K302" i="7" s="1"/>
  <c r="Q302" i="7" s="1"/>
  <c r="S302" i="7" s="1"/>
  <c r="Y302" i="7" s="1"/>
  <c r="AA302" i="7" s="1"/>
  <c r="AG302" i="7" s="1"/>
  <c r="AI302" i="7" s="1"/>
  <c r="AO302" i="7" s="1"/>
  <c r="AQ302" i="7" s="1"/>
  <c r="AW302" i="7" s="1"/>
  <c r="I306" i="7"/>
  <c r="K306" i="7" s="1"/>
  <c r="Q306" i="7" s="1"/>
  <c r="S306" i="7" s="1"/>
  <c r="Y306" i="7" s="1"/>
  <c r="AA306" i="7" s="1"/>
  <c r="AG306" i="7" s="1"/>
  <c r="AI306" i="7" s="1"/>
  <c r="AO306" i="7" s="1"/>
  <c r="AQ306" i="7" s="1"/>
  <c r="AW306" i="7" s="1"/>
  <c r="I22" i="7"/>
  <c r="K22" i="7" s="1"/>
  <c r="Q22" i="7" s="1"/>
  <c r="S22" i="7" s="1"/>
  <c r="Y22" i="7" s="1"/>
  <c r="AA22" i="7" s="1"/>
  <c r="AG22" i="7" s="1"/>
  <c r="AI22" i="7" s="1"/>
  <c r="AO22" i="7" s="1"/>
  <c r="AQ22" i="7" s="1"/>
  <c r="AW22" i="7" s="1"/>
  <c r="M62" i="7"/>
  <c r="N52" i="7" s="1"/>
  <c r="N51" i="13" s="1"/>
  <c r="AC62" i="7"/>
  <c r="AD46" i="7" s="1"/>
  <c r="AD45" i="13" s="1"/>
  <c r="AS62" i="7"/>
  <c r="AT52" i="7" s="1"/>
  <c r="AT51" i="13" s="1"/>
  <c r="I46" i="7"/>
  <c r="K46" i="7" s="1"/>
  <c r="Q46" i="7" s="1"/>
  <c r="S46" i="7" s="1"/>
  <c r="Y46" i="7" s="1"/>
  <c r="AA46" i="7" s="1"/>
  <c r="AG46" i="7" s="1"/>
  <c r="AI46" i="7" s="1"/>
  <c r="AO46" i="7" s="1"/>
  <c r="AQ46" i="7" s="1"/>
  <c r="AW46" i="7" s="1"/>
  <c r="I48" i="7"/>
  <c r="K48" i="7" s="1"/>
  <c r="Q48" i="7" s="1"/>
  <c r="S48" i="7" s="1"/>
  <c r="Y48" i="7" s="1"/>
  <c r="AA48" i="7" s="1"/>
  <c r="AG48" i="7" s="1"/>
  <c r="AI48" i="7" s="1"/>
  <c r="AO48" i="7" s="1"/>
  <c r="AQ48" i="7" s="1"/>
  <c r="AW48" i="7" s="1"/>
  <c r="I50" i="7"/>
  <c r="K50" i="7" s="1"/>
  <c r="Q50" i="7" s="1"/>
  <c r="S50" i="7" s="1"/>
  <c r="Y50" i="7" s="1"/>
  <c r="AA50" i="7" s="1"/>
  <c r="AG50" i="7" s="1"/>
  <c r="AI50" i="7" s="1"/>
  <c r="AO50" i="7" s="1"/>
  <c r="AQ50" i="7" s="1"/>
  <c r="AW50" i="7" s="1"/>
  <c r="V52" i="7"/>
  <c r="V51" i="13" s="1"/>
  <c r="AL52" i="7"/>
  <c r="AL51" i="13" s="1"/>
  <c r="F54" i="7"/>
  <c r="V54" i="7"/>
  <c r="V53" i="13" s="1"/>
  <c r="AL54" i="7"/>
  <c r="AL53" i="13" s="1"/>
  <c r="V56" i="7"/>
  <c r="V55" i="13" s="1"/>
  <c r="AL56" i="7"/>
  <c r="AL55" i="13" s="1"/>
  <c r="F58" i="7"/>
  <c r="V58" i="7"/>
  <c r="V57" i="13" s="1"/>
  <c r="AL58" i="7"/>
  <c r="AL57" i="13" s="1"/>
  <c r="V60" i="7"/>
  <c r="V59" i="13" s="1"/>
  <c r="AL60" i="7"/>
  <c r="AL59" i="13" s="1"/>
  <c r="AG9" i="10"/>
  <c r="AD97" i="7"/>
  <c r="AD96" i="13" s="1"/>
  <c r="AD93" i="7"/>
  <c r="AD92" i="13" s="1"/>
  <c r="AD89" i="7"/>
  <c r="AD88" i="13" s="1"/>
  <c r="AD85" i="7"/>
  <c r="AD84" i="13" s="1"/>
  <c r="AD99" i="7"/>
  <c r="AD98" i="13" s="1"/>
  <c r="AD95" i="7"/>
  <c r="AD94" i="13" s="1"/>
  <c r="AD91" i="7"/>
  <c r="AD90" i="13" s="1"/>
  <c r="AD87" i="7"/>
  <c r="AD86" i="13" s="1"/>
  <c r="AD83" i="7"/>
  <c r="AD82" i="13" s="1"/>
  <c r="N84" i="7"/>
  <c r="N83" i="13" s="1"/>
  <c r="AD84" i="7"/>
  <c r="AD83" i="13" s="1"/>
  <c r="AT84" i="7"/>
  <c r="AT83" i="13" s="1"/>
  <c r="N86" i="7"/>
  <c r="N85" i="13" s="1"/>
  <c r="AD86" i="7"/>
  <c r="AD85" i="13" s="1"/>
  <c r="AT86" i="7"/>
  <c r="AT85" i="13" s="1"/>
  <c r="N88" i="7"/>
  <c r="N87" i="13" s="1"/>
  <c r="AD88" i="7"/>
  <c r="AD87" i="13" s="1"/>
  <c r="AT88" i="7"/>
  <c r="AT87" i="13" s="1"/>
  <c r="N90" i="7"/>
  <c r="N89" i="13" s="1"/>
  <c r="AD90" i="7"/>
  <c r="AD89" i="13" s="1"/>
  <c r="AT90" i="7"/>
  <c r="AT89" i="13" s="1"/>
  <c r="N92" i="7"/>
  <c r="N91" i="13" s="1"/>
  <c r="AD92" i="7"/>
  <c r="AD91" i="13" s="1"/>
  <c r="AT92" i="7"/>
  <c r="AT91" i="13" s="1"/>
  <c r="N94" i="7"/>
  <c r="N93" i="13" s="1"/>
  <c r="AD94" i="7"/>
  <c r="AD93" i="13" s="1"/>
  <c r="AT94" i="7"/>
  <c r="AT93" i="13" s="1"/>
  <c r="N96" i="7"/>
  <c r="N95" i="13" s="1"/>
  <c r="AD96" i="7"/>
  <c r="AD95" i="13" s="1"/>
  <c r="AT96" i="7"/>
  <c r="AT95" i="13" s="1"/>
  <c r="N98" i="7"/>
  <c r="N97" i="13" s="1"/>
  <c r="AD98" i="7"/>
  <c r="AD97" i="13" s="1"/>
  <c r="AT98" i="7"/>
  <c r="AT97" i="13" s="1"/>
  <c r="I119" i="7"/>
  <c r="AG11" i="10"/>
  <c r="AD154" i="7"/>
  <c r="AD153" i="13" s="1"/>
  <c r="AD150" i="7"/>
  <c r="AD149" i="13" s="1"/>
  <c r="AD146" i="7"/>
  <c r="AD145" i="13" s="1"/>
  <c r="AD142" i="7"/>
  <c r="AD141" i="13" s="1"/>
  <c r="AD156" i="7"/>
  <c r="AD155" i="13" s="1"/>
  <c r="AD152" i="7"/>
  <c r="AD151" i="13" s="1"/>
  <c r="AD148" i="7"/>
  <c r="AD147" i="13" s="1"/>
  <c r="AD144" i="7"/>
  <c r="AD143" i="13" s="1"/>
  <c r="AD140" i="7"/>
  <c r="AD139" i="13" s="1"/>
  <c r="N141" i="7"/>
  <c r="N140" i="13" s="1"/>
  <c r="AD141" i="7"/>
  <c r="AD140" i="13" s="1"/>
  <c r="AT141" i="7"/>
  <c r="AT140" i="13" s="1"/>
  <c r="N143" i="7"/>
  <c r="N142" i="13" s="1"/>
  <c r="AD143" i="7"/>
  <c r="AD142" i="13" s="1"/>
  <c r="AT143" i="7"/>
  <c r="AT142" i="13" s="1"/>
  <c r="N145" i="7"/>
  <c r="N144" i="13" s="1"/>
  <c r="AD145" i="7"/>
  <c r="AD144" i="13" s="1"/>
  <c r="AT145" i="7"/>
  <c r="AT144" i="13" s="1"/>
  <c r="N147" i="7"/>
  <c r="N146" i="13" s="1"/>
  <c r="AD147" i="7"/>
  <c r="AD146" i="13" s="1"/>
  <c r="AT147" i="7"/>
  <c r="AT146" i="13" s="1"/>
  <c r="N149" i="7"/>
  <c r="N148" i="13" s="1"/>
  <c r="AD149" i="7"/>
  <c r="AD148" i="13" s="1"/>
  <c r="AT149" i="7"/>
  <c r="AT148" i="13" s="1"/>
  <c r="N151" i="7"/>
  <c r="N150" i="13" s="1"/>
  <c r="AD151" i="7"/>
  <c r="AD150" i="13" s="1"/>
  <c r="AT151" i="7"/>
  <c r="AT150" i="13" s="1"/>
  <c r="N153" i="7"/>
  <c r="N152" i="13" s="1"/>
  <c r="AD153" i="7"/>
  <c r="AD152" i="13" s="1"/>
  <c r="AT153" i="7"/>
  <c r="AT152" i="13" s="1"/>
  <c r="N155" i="7"/>
  <c r="N154" i="13" s="1"/>
  <c r="AD155" i="7"/>
  <c r="AD154" i="13" s="1"/>
  <c r="AT155" i="7"/>
  <c r="AT154" i="13" s="1"/>
  <c r="K178" i="7"/>
  <c r="M13" i="10"/>
  <c r="N191" i="7"/>
  <c r="N190" i="13" s="1"/>
  <c r="N187" i="7"/>
  <c r="N186" i="13" s="1"/>
  <c r="N183" i="7"/>
  <c r="N182" i="13" s="1"/>
  <c r="N182" i="7"/>
  <c r="N181" i="13" s="1"/>
  <c r="N178" i="7"/>
  <c r="N177" i="13" s="1"/>
  <c r="N193" i="7"/>
  <c r="N192" i="13" s="1"/>
  <c r="N189" i="7"/>
  <c r="N188" i="13" s="1"/>
  <c r="N185" i="7"/>
  <c r="N184" i="13" s="1"/>
  <c r="N180" i="7"/>
  <c r="N179" i="13" s="1"/>
  <c r="BA13" i="10"/>
  <c r="AT191" i="7"/>
  <c r="AT190" i="13" s="1"/>
  <c r="AT187" i="7"/>
  <c r="AT186" i="13" s="1"/>
  <c r="AT183" i="7"/>
  <c r="AT182" i="13" s="1"/>
  <c r="AT182" i="7"/>
  <c r="AT181" i="13" s="1"/>
  <c r="AT178" i="7"/>
  <c r="AT177" i="13" s="1"/>
  <c r="AT193" i="7"/>
  <c r="AT192" i="13" s="1"/>
  <c r="AT189" i="7"/>
  <c r="AT188" i="13" s="1"/>
  <c r="AT185" i="7"/>
  <c r="AT184" i="13" s="1"/>
  <c r="AT180" i="7"/>
  <c r="AT179" i="13" s="1"/>
  <c r="F178" i="13"/>
  <c r="J179" i="7"/>
  <c r="L179" i="7" s="1"/>
  <c r="F183" i="13"/>
  <c r="J184" i="7"/>
  <c r="L184" i="7" s="1"/>
  <c r="F187" i="13"/>
  <c r="J188" i="7"/>
  <c r="L188" i="7" s="1"/>
  <c r="F191" i="13"/>
  <c r="J192" i="7"/>
  <c r="L192" i="7" s="1"/>
  <c r="AG14" i="10"/>
  <c r="AD210" i="7"/>
  <c r="AD209" i="13" s="1"/>
  <c r="AD206" i="7"/>
  <c r="AD205" i="13" s="1"/>
  <c r="AD202" i="7"/>
  <c r="AD201" i="13" s="1"/>
  <c r="AD201" i="7"/>
  <c r="AD200" i="13" s="1"/>
  <c r="AD197" i="7"/>
  <c r="AD196" i="13" s="1"/>
  <c r="AD212" i="7"/>
  <c r="AD211" i="13" s="1"/>
  <c r="AD208" i="7"/>
  <c r="AD207" i="13" s="1"/>
  <c r="AD204" i="7"/>
  <c r="AD203" i="13" s="1"/>
  <c r="AD199" i="7"/>
  <c r="AD198" i="13" s="1"/>
  <c r="N198" i="7"/>
  <c r="N197" i="13" s="1"/>
  <c r="AD198" i="7"/>
  <c r="AD197" i="13" s="1"/>
  <c r="AT198" i="7"/>
  <c r="AT197" i="13" s="1"/>
  <c r="N200" i="7"/>
  <c r="N199" i="13" s="1"/>
  <c r="AD200" i="7"/>
  <c r="AD199" i="13" s="1"/>
  <c r="AT200" i="7"/>
  <c r="AT199" i="13" s="1"/>
  <c r="N203" i="7"/>
  <c r="N202" i="13" s="1"/>
  <c r="AD203" i="7"/>
  <c r="AD202" i="13" s="1"/>
  <c r="AT203" i="7"/>
  <c r="AT202" i="13" s="1"/>
  <c r="N205" i="7"/>
  <c r="N204" i="13" s="1"/>
  <c r="AD205" i="7"/>
  <c r="AD204" i="13" s="1"/>
  <c r="AT205" i="7"/>
  <c r="AT204" i="13" s="1"/>
  <c r="N207" i="7"/>
  <c r="N206" i="13" s="1"/>
  <c r="AD207" i="7"/>
  <c r="AD206" i="13" s="1"/>
  <c r="AT207" i="7"/>
  <c r="AT206" i="13" s="1"/>
  <c r="N209" i="7"/>
  <c r="N208" i="13" s="1"/>
  <c r="AD209" i="7"/>
  <c r="AD208" i="13" s="1"/>
  <c r="AT209" i="7"/>
  <c r="AT208" i="13" s="1"/>
  <c r="N211" i="7"/>
  <c r="N210" i="13" s="1"/>
  <c r="AD211" i="7"/>
  <c r="AD210" i="13" s="1"/>
  <c r="AT211" i="7"/>
  <c r="AT210" i="13" s="1"/>
  <c r="N213" i="7"/>
  <c r="N212" i="13" s="1"/>
  <c r="AD213" i="7"/>
  <c r="AD212" i="13" s="1"/>
  <c r="AT213" i="7"/>
  <c r="AT212" i="13" s="1"/>
  <c r="K216" i="7"/>
  <c r="M15" i="10"/>
  <c r="N229" i="7"/>
  <c r="N228" i="13" s="1"/>
  <c r="N225" i="7"/>
  <c r="N224" i="13" s="1"/>
  <c r="N221" i="7"/>
  <c r="N220" i="13" s="1"/>
  <c r="N220" i="7"/>
  <c r="N219" i="13" s="1"/>
  <c r="N216" i="7"/>
  <c r="N215" i="13" s="1"/>
  <c r="N231" i="7"/>
  <c r="N230" i="13" s="1"/>
  <c r="N227" i="7"/>
  <c r="N226" i="13" s="1"/>
  <c r="N223" i="7"/>
  <c r="N222" i="13" s="1"/>
  <c r="N218" i="7"/>
  <c r="N217" i="13" s="1"/>
  <c r="BA15" i="10"/>
  <c r="AT229" i="7"/>
  <c r="AT228" i="13" s="1"/>
  <c r="AT225" i="7"/>
  <c r="AT224" i="13" s="1"/>
  <c r="AT221" i="7"/>
  <c r="AT220" i="13" s="1"/>
  <c r="AT220" i="7"/>
  <c r="AT219" i="13" s="1"/>
  <c r="AT216" i="7"/>
  <c r="AT215" i="13" s="1"/>
  <c r="AT231" i="7"/>
  <c r="AT230" i="13" s="1"/>
  <c r="AT227" i="7"/>
  <c r="AT226" i="13" s="1"/>
  <c r="AT223" i="7"/>
  <c r="AT222" i="13" s="1"/>
  <c r="AT218" i="7"/>
  <c r="AT217" i="13" s="1"/>
  <c r="F216" i="13"/>
  <c r="G216" i="13" s="1"/>
  <c r="J217" i="7"/>
  <c r="L217" i="7" s="1"/>
  <c r="F221" i="13"/>
  <c r="J222" i="7"/>
  <c r="L222" i="7" s="1"/>
  <c r="F225" i="13"/>
  <c r="J226" i="7"/>
  <c r="L226" i="7" s="1"/>
  <c r="F230" i="7"/>
  <c r="AL230" i="7"/>
  <c r="AL229" i="13" s="1"/>
  <c r="W16" i="10"/>
  <c r="V250" i="7"/>
  <c r="V249" i="13" s="1"/>
  <c r="V248" i="7"/>
  <c r="V247" i="13" s="1"/>
  <c r="V246" i="7"/>
  <c r="V245" i="13" s="1"/>
  <c r="V242" i="7"/>
  <c r="V241" i="13" s="1"/>
  <c r="V237" i="7"/>
  <c r="V236" i="13" s="1"/>
  <c r="V244" i="7"/>
  <c r="V243" i="13" s="1"/>
  <c r="F257" i="13"/>
  <c r="J258" i="7"/>
  <c r="L258" i="7" s="1"/>
  <c r="F52" i="7"/>
  <c r="F56" i="7"/>
  <c r="F60" i="7"/>
  <c r="H64" i="7"/>
  <c r="H81" i="7" s="1"/>
  <c r="P64" i="7"/>
  <c r="P81" i="7" s="1"/>
  <c r="X64" i="7"/>
  <c r="X81" i="7" s="1"/>
  <c r="AF64" i="7"/>
  <c r="AF81" i="7" s="1"/>
  <c r="AN64" i="7"/>
  <c r="AN81" i="7" s="1"/>
  <c r="AV64" i="7"/>
  <c r="AV81" i="7" s="1"/>
  <c r="I83" i="7"/>
  <c r="F84" i="7"/>
  <c r="F88" i="7"/>
  <c r="F92" i="7"/>
  <c r="F96" i="7"/>
  <c r="C119" i="7"/>
  <c r="H121" i="7"/>
  <c r="H138" i="7" s="1"/>
  <c r="P121" i="7"/>
  <c r="P138" i="7" s="1"/>
  <c r="X121" i="7"/>
  <c r="X138" i="7" s="1"/>
  <c r="AF121" i="7"/>
  <c r="AF138" i="7" s="1"/>
  <c r="AN121" i="7"/>
  <c r="AN138" i="7" s="1"/>
  <c r="AV121" i="7"/>
  <c r="AV138" i="7" s="1"/>
  <c r="A28" i="18"/>
  <c r="F28" i="18" s="1"/>
  <c r="E137" i="13"/>
  <c r="G137" i="13" s="1"/>
  <c r="I140" i="7"/>
  <c r="F141" i="7"/>
  <c r="F145" i="7"/>
  <c r="F149" i="7"/>
  <c r="F153" i="7"/>
  <c r="F159" i="7"/>
  <c r="N159" i="7"/>
  <c r="N158" i="13" s="1"/>
  <c r="N175" i="13" s="1"/>
  <c r="V159" i="7"/>
  <c r="V158" i="13" s="1"/>
  <c r="V175" i="13" s="1"/>
  <c r="AD159" i="7"/>
  <c r="AD158" i="13" s="1"/>
  <c r="AD175" i="13" s="1"/>
  <c r="AL159" i="7"/>
  <c r="AL158" i="13" s="1"/>
  <c r="AL175" i="13" s="1"/>
  <c r="AT159" i="7"/>
  <c r="AT158" i="13" s="1"/>
  <c r="AT175" i="13" s="1"/>
  <c r="F163" i="7"/>
  <c r="F167" i="7"/>
  <c r="F171" i="7"/>
  <c r="F175" i="7"/>
  <c r="F181" i="7"/>
  <c r="F186" i="7"/>
  <c r="F190" i="7"/>
  <c r="F194" i="7"/>
  <c r="F200" i="7"/>
  <c r="F205" i="7"/>
  <c r="F209" i="7"/>
  <c r="F213" i="7"/>
  <c r="F219" i="7"/>
  <c r="F224" i="7"/>
  <c r="F228" i="7"/>
  <c r="X236" i="7"/>
  <c r="C252" i="7"/>
  <c r="AC252" i="7"/>
  <c r="AD238" i="7" s="1"/>
  <c r="AD237" i="13" s="1"/>
  <c r="F254" i="7"/>
  <c r="V254" i="7"/>
  <c r="V253" i="13" s="1"/>
  <c r="AL254" i="7"/>
  <c r="AL253" i="13" s="1"/>
  <c r="F256" i="7"/>
  <c r="V256" i="7"/>
  <c r="V255" i="13" s="1"/>
  <c r="AL256" i="7"/>
  <c r="AL255" i="13" s="1"/>
  <c r="F289" i="7"/>
  <c r="F288" i="13" s="1"/>
  <c r="F288" i="7"/>
  <c r="F287" i="13" s="1"/>
  <c r="V289" i="7"/>
  <c r="V288" i="13" s="1"/>
  <c r="V288" i="7"/>
  <c r="V287" i="13" s="1"/>
  <c r="AL289" i="7"/>
  <c r="AL288" i="13" s="1"/>
  <c r="AL288" i="7"/>
  <c r="AL287" i="13" s="1"/>
  <c r="N275" i="7"/>
  <c r="N274" i="13" s="1"/>
  <c r="AD275" i="7"/>
  <c r="AD274" i="13" s="1"/>
  <c r="AT275" i="7"/>
  <c r="AT274" i="13" s="1"/>
  <c r="F277" i="7"/>
  <c r="F276" i="13" s="1"/>
  <c r="V277" i="7"/>
  <c r="V276" i="13" s="1"/>
  <c r="AL277" i="7"/>
  <c r="AL276" i="13" s="1"/>
  <c r="N279" i="7"/>
  <c r="N278" i="13" s="1"/>
  <c r="AD279" i="7"/>
  <c r="AD278" i="13" s="1"/>
  <c r="AT279" i="7"/>
  <c r="AT278" i="13" s="1"/>
  <c r="F281" i="7"/>
  <c r="F280" i="13" s="1"/>
  <c r="V281" i="7"/>
  <c r="V280" i="13" s="1"/>
  <c r="AL281" i="7"/>
  <c r="AL280" i="13" s="1"/>
  <c r="AL282" i="7"/>
  <c r="AL281" i="13" s="1"/>
  <c r="F283" i="7"/>
  <c r="F282" i="13" s="1"/>
  <c r="AL283" i="7"/>
  <c r="AL282" i="13" s="1"/>
  <c r="F284" i="7"/>
  <c r="F283" i="13" s="1"/>
  <c r="AL284" i="7"/>
  <c r="AL283" i="13" s="1"/>
  <c r="F285" i="7"/>
  <c r="F284" i="13" s="1"/>
  <c r="AL285" i="7"/>
  <c r="AL284" i="13" s="1"/>
  <c r="F286" i="7"/>
  <c r="F285" i="13" s="1"/>
  <c r="AL286" i="7"/>
  <c r="AL285" i="13" s="1"/>
  <c r="F287" i="7"/>
  <c r="F286" i="13" s="1"/>
  <c r="AL287" i="7"/>
  <c r="AL286" i="13" s="1"/>
  <c r="BG25" i="8"/>
  <c r="BG28" i="8"/>
  <c r="BG44" i="8"/>
  <c r="BI49" i="8"/>
  <c r="AT10" i="8"/>
  <c r="AV28" i="8"/>
  <c r="AW10" i="8" s="1"/>
  <c r="AV29" i="8"/>
  <c r="AW11" i="8" s="1"/>
  <c r="BI50" i="8"/>
  <c r="AT11" i="8"/>
  <c r="AT12" i="8"/>
  <c r="AV30" i="8"/>
  <c r="AW12" i="8" s="1"/>
  <c r="BI51" i="8"/>
  <c r="AG53" i="8"/>
  <c r="AP53" i="8" s="1"/>
  <c r="AS53" i="8" s="1"/>
  <c r="BC53" i="8" s="1"/>
  <c r="BF53" i="8" s="1"/>
  <c r="BP53" i="8" s="1"/>
  <c r="BS53" i="8" s="1"/>
  <c r="BI54" i="8"/>
  <c r="AV33" i="8"/>
  <c r="AW15" i="8" s="1"/>
  <c r="AT15" i="8"/>
  <c r="BG55" i="8"/>
  <c r="T56" i="8"/>
  <c r="AC56" i="8" s="1"/>
  <c r="V56" i="8"/>
  <c r="I56" i="8"/>
  <c r="T58" i="8"/>
  <c r="AC58" i="8" s="1"/>
  <c r="V58" i="8"/>
  <c r="X58" i="8" s="1"/>
  <c r="BG58" i="8"/>
  <c r="BI60" i="8"/>
  <c r="AV39" i="8"/>
  <c r="T26" i="9"/>
  <c r="K7" i="9" s="1"/>
  <c r="E45" i="19" s="1"/>
  <c r="T27" i="9"/>
  <c r="K8" i="9" s="1"/>
  <c r="E46" i="19" s="1"/>
  <c r="T28" i="9"/>
  <c r="K9" i="9" s="1"/>
  <c r="E47" i="19" s="1"/>
  <c r="X51" i="9"/>
  <c r="AA51" i="9" s="1"/>
  <c r="N55" i="9"/>
  <c r="G14" i="9" s="1"/>
  <c r="D33" i="19" s="1"/>
  <c r="X57" i="9"/>
  <c r="AA57" i="9" s="1"/>
  <c r="N57" i="9"/>
  <c r="G16" i="9" s="1"/>
  <c r="D35" i="19" s="1"/>
  <c r="H61" i="9"/>
  <c r="T61" i="9"/>
  <c r="I54" i="7"/>
  <c r="K54" i="7" s="1"/>
  <c r="Q54" i="7" s="1"/>
  <c r="S54" i="7" s="1"/>
  <c r="Y54" i="7" s="1"/>
  <c r="AA54" i="7" s="1"/>
  <c r="AG54" i="7" s="1"/>
  <c r="AI54" i="7" s="1"/>
  <c r="AO54" i="7" s="1"/>
  <c r="AQ54" i="7" s="1"/>
  <c r="AW54" i="7" s="1"/>
  <c r="I58" i="7"/>
  <c r="K58" i="7" s="1"/>
  <c r="Q58" i="7" s="1"/>
  <c r="S58" i="7" s="1"/>
  <c r="Y58" i="7" s="1"/>
  <c r="AA58" i="7" s="1"/>
  <c r="AG58" i="7" s="1"/>
  <c r="AI58" i="7" s="1"/>
  <c r="AO58" i="7" s="1"/>
  <c r="AQ58" i="7" s="1"/>
  <c r="AW58" i="7" s="1"/>
  <c r="I64" i="7"/>
  <c r="I68" i="7"/>
  <c r="K68" i="7" s="1"/>
  <c r="Q68" i="7" s="1"/>
  <c r="S68" i="7" s="1"/>
  <c r="Y68" i="7" s="1"/>
  <c r="AA68" i="7" s="1"/>
  <c r="AG68" i="7" s="1"/>
  <c r="AI68" i="7" s="1"/>
  <c r="AO68" i="7" s="1"/>
  <c r="AQ68" i="7" s="1"/>
  <c r="AW68" i="7" s="1"/>
  <c r="I72" i="7"/>
  <c r="K72" i="7" s="1"/>
  <c r="Q72" i="7" s="1"/>
  <c r="S72" i="7" s="1"/>
  <c r="Y72" i="7" s="1"/>
  <c r="AA72" i="7" s="1"/>
  <c r="AG72" i="7" s="1"/>
  <c r="AI72" i="7" s="1"/>
  <c r="AO72" i="7" s="1"/>
  <c r="AQ72" i="7" s="1"/>
  <c r="AW72" i="7" s="1"/>
  <c r="I76" i="7"/>
  <c r="K76" i="7" s="1"/>
  <c r="Q76" i="7" s="1"/>
  <c r="S76" i="7" s="1"/>
  <c r="Y76" i="7" s="1"/>
  <c r="AA76" i="7" s="1"/>
  <c r="AG76" i="7" s="1"/>
  <c r="AI76" i="7" s="1"/>
  <c r="AO76" i="7" s="1"/>
  <c r="AQ76" i="7" s="1"/>
  <c r="AW76" i="7" s="1"/>
  <c r="I80" i="7"/>
  <c r="K80" i="7" s="1"/>
  <c r="Q80" i="7" s="1"/>
  <c r="S80" i="7" s="1"/>
  <c r="Y80" i="7" s="1"/>
  <c r="AA80" i="7" s="1"/>
  <c r="AG80" i="7" s="1"/>
  <c r="AI80" i="7" s="1"/>
  <c r="AO80" i="7" s="1"/>
  <c r="AQ80" i="7" s="1"/>
  <c r="AW80" i="7" s="1"/>
  <c r="E81" i="7"/>
  <c r="F76" i="7" s="1"/>
  <c r="M81" i="7"/>
  <c r="N68" i="7" s="1"/>
  <c r="N67" i="13" s="1"/>
  <c r="U81" i="7"/>
  <c r="AC81" i="7"/>
  <c r="AD66" i="7" s="1"/>
  <c r="AD65" i="13" s="1"/>
  <c r="AK81" i="7"/>
  <c r="AL68" i="7" s="1"/>
  <c r="AL67" i="13" s="1"/>
  <c r="AS81" i="7"/>
  <c r="AT64" i="7" s="1"/>
  <c r="AT63" i="13" s="1"/>
  <c r="I86" i="7"/>
  <c r="K86" i="7" s="1"/>
  <c r="Q86" i="7" s="1"/>
  <c r="S86" i="7" s="1"/>
  <c r="Y86" i="7" s="1"/>
  <c r="AA86" i="7" s="1"/>
  <c r="AG86" i="7" s="1"/>
  <c r="AI86" i="7" s="1"/>
  <c r="AO86" i="7" s="1"/>
  <c r="AQ86" i="7" s="1"/>
  <c r="AW86" i="7" s="1"/>
  <c r="I90" i="7"/>
  <c r="K90" i="7" s="1"/>
  <c r="Q90" i="7" s="1"/>
  <c r="S90" i="7" s="1"/>
  <c r="Y90" i="7" s="1"/>
  <c r="AA90" i="7" s="1"/>
  <c r="AG90" i="7" s="1"/>
  <c r="AI90" i="7" s="1"/>
  <c r="AO90" i="7" s="1"/>
  <c r="AQ90" i="7" s="1"/>
  <c r="AW90" i="7" s="1"/>
  <c r="I94" i="7"/>
  <c r="K94" i="7" s="1"/>
  <c r="Q94" i="7" s="1"/>
  <c r="S94" i="7" s="1"/>
  <c r="Y94" i="7" s="1"/>
  <c r="AA94" i="7" s="1"/>
  <c r="AG94" i="7" s="1"/>
  <c r="AI94" i="7" s="1"/>
  <c r="AO94" i="7" s="1"/>
  <c r="AQ94" i="7" s="1"/>
  <c r="AW94" i="7" s="1"/>
  <c r="I98" i="7"/>
  <c r="K98" i="7" s="1"/>
  <c r="Q98" i="7" s="1"/>
  <c r="S98" i="7" s="1"/>
  <c r="Y98" i="7" s="1"/>
  <c r="AA98" i="7" s="1"/>
  <c r="AG98" i="7" s="1"/>
  <c r="AI98" i="7" s="1"/>
  <c r="AO98" i="7" s="1"/>
  <c r="AQ98" i="7" s="1"/>
  <c r="AW98" i="7" s="1"/>
  <c r="H119" i="7"/>
  <c r="I121" i="7"/>
  <c r="I125" i="7"/>
  <c r="K125" i="7" s="1"/>
  <c r="Q125" i="7" s="1"/>
  <c r="S125" i="7" s="1"/>
  <c r="Y125" i="7" s="1"/>
  <c r="AA125" i="7" s="1"/>
  <c r="AG125" i="7" s="1"/>
  <c r="AI125" i="7" s="1"/>
  <c r="AO125" i="7" s="1"/>
  <c r="AQ125" i="7" s="1"/>
  <c r="AW125" i="7" s="1"/>
  <c r="I129" i="7"/>
  <c r="K129" i="7" s="1"/>
  <c r="Q129" i="7" s="1"/>
  <c r="S129" i="7" s="1"/>
  <c r="Y129" i="7" s="1"/>
  <c r="AA129" i="7" s="1"/>
  <c r="AG129" i="7" s="1"/>
  <c r="AI129" i="7" s="1"/>
  <c r="AO129" i="7" s="1"/>
  <c r="AQ129" i="7" s="1"/>
  <c r="AW129" i="7" s="1"/>
  <c r="I133" i="7"/>
  <c r="K133" i="7" s="1"/>
  <c r="Q133" i="7" s="1"/>
  <c r="S133" i="7" s="1"/>
  <c r="Y133" i="7" s="1"/>
  <c r="AA133" i="7" s="1"/>
  <c r="AG133" i="7" s="1"/>
  <c r="AI133" i="7" s="1"/>
  <c r="AO133" i="7" s="1"/>
  <c r="AQ133" i="7" s="1"/>
  <c r="AW133" i="7" s="1"/>
  <c r="I137" i="7"/>
  <c r="K137" i="7" s="1"/>
  <c r="Q137" i="7" s="1"/>
  <c r="S137" i="7" s="1"/>
  <c r="Y137" i="7" s="1"/>
  <c r="AA137" i="7" s="1"/>
  <c r="AG137" i="7" s="1"/>
  <c r="AI137" i="7" s="1"/>
  <c r="AO137" i="7" s="1"/>
  <c r="AQ137" i="7" s="1"/>
  <c r="AW137" i="7" s="1"/>
  <c r="E138" i="7"/>
  <c r="F133" i="7" s="1"/>
  <c r="M138" i="7"/>
  <c r="N127" i="7" s="1"/>
  <c r="N126" i="13" s="1"/>
  <c r="U138" i="7"/>
  <c r="AC138" i="7"/>
  <c r="AD125" i="7" s="1"/>
  <c r="AD124" i="13" s="1"/>
  <c r="AK138" i="7"/>
  <c r="AL125" i="7" s="1"/>
  <c r="AL124" i="13" s="1"/>
  <c r="AS138" i="7"/>
  <c r="AT123" i="7" s="1"/>
  <c r="AT122" i="13" s="1"/>
  <c r="I143" i="7"/>
  <c r="K143" i="7" s="1"/>
  <c r="Q143" i="7" s="1"/>
  <c r="S143" i="7" s="1"/>
  <c r="Y143" i="7" s="1"/>
  <c r="AA143" i="7" s="1"/>
  <c r="AG143" i="7" s="1"/>
  <c r="AI143" i="7" s="1"/>
  <c r="AO143" i="7" s="1"/>
  <c r="AQ143" i="7" s="1"/>
  <c r="AW143" i="7" s="1"/>
  <c r="I147" i="7"/>
  <c r="K147" i="7" s="1"/>
  <c r="Q147" i="7" s="1"/>
  <c r="S147" i="7" s="1"/>
  <c r="Y147" i="7" s="1"/>
  <c r="AA147" i="7" s="1"/>
  <c r="AG147" i="7" s="1"/>
  <c r="AI147" i="7" s="1"/>
  <c r="AO147" i="7" s="1"/>
  <c r="AQ147" i="7" s="1"/>
  <c r="AW147" i="7" s="1"/>
  <c r="I151" i="7"/>
  <c r="K151" i="7" s="1"/>
  <c r="Q151" i="7" s="1"/>
  <c r="S151" i="7" s="1"/>
  <c r="Y151" i="7" s="1"/>
  <c r="AA151" i="7" s="1"/>
  <c r="AG151" i="7" s="1"/>
  <c r="AI151" i="7" s="1"/>
  <c r="AO151" i="7" s="1"/>
  <c r="AQ151" i="7" s="1"/>
  <c r="AW151" i="7" s="1"/>
  <c r="I155" i="7"/>
  <c r="K155" i="7" s="1"/>
  <c r="Q155" i="7" s="1"/>
  <c r="S155" i="7" s="1"/>
  <c r="Y155" i="7" s="1"/>
  <c r="AA155" i="7" s="1"/>
  <c r="AG155" i="7" s="1"/>
  <c r="AI155" i="7" s="1"/>
  <c r="AO155" i="7" s="1"/>
  <c r="AQ155" i="7" s="1"/>
  <c r="AW155" i="7" s="1"/>
  <c r="I161" i="7"/>
  <c r="K161" i="7" s="1"/>
  <c r="Q161" i="7" s="1"/>
  <c r="S161" i="7" s="1"/>
  <c r="Y161" i="7" s="1"/>
  <c r="AA161" i="7" s="1"/>
  <c r="AG161" i="7" s="1"/>
  <c r="AI161" i="7" s="1"/>
  <c r="AO161" i="7" s="1"/>
  <c r="AQ161" i="7" s="1"/>
  <c r="AW161" i="7" s="1"/>
  <c r="I165" i="7"/>
  <c r="K165" i="7" s="1"/>
  <c r="Q165" i="7" s="1"/>
  <c r="S165" i="7" s="1"/>
  <c r="Y165" i="7" s="1"/>
  <c r="AA165" i="7" s="1"/>
  <c r="AG165" i="7" s="1"/>
  <c r="AI165" i="7" s="1"/>
  <c r="AO165" i="7" s="1"/>
  <c r="AQ165" i="7" s="1"/>
  <c r="AW165" i="7" s="1"/>
  <c r="I169" i="7"/>
  <c r="K169" i="7" s="1"/>
  <c r="Q169" i="7" s="1"/>
  <c r="S169" i="7" s="1"/>
  <c r="Y169" i="7" s="1"/>
  <c r="AA169" i="7" s="1"/>
  <c r="AG169" i="7" s="1"/>
  <c r="AI169" i="7" s="1"/>
  <c r="AO169" i="7" s="1"/>
  <c r="AQ169" i="7" s="1"/>
  <c r="AW169" i="7" s="1"/>
  <c r="I173" i="7"/>
  <c r="K173" i="7" s="1"/>
  <c r="Q173" i="7" s="1"/>
  <c r="S173" i="7" s="1"/>
  <c r="Y173" i="7" s="1"/>
  <c r="AA173" i="7" s="1"/>
  <c r="AG173" i="7" s="1"/>
  <c r="AI173" i="7" s="1"/>
  <c r="AO173" i="7" s="1"/>
  <c r="AQ173" i="7" s="1"/>
  <c r="AW173" i="7" s="1"/>
  <c r="G176" i="7"/>
  <c r="O176" i="7"/>
  <c r="W176" i="7"/>
  <c r="AE176" i="7"/>
  <c r="AM176" i="7"/>
  <c r="AU176" i="7"/>
  <c r="I179" i="7"/>
  <c r="K179" i="7" s="1"/>
  <c r="Q179" i="7" s="1"/>
  <c r="S179" i="7" s="1"/>
  <c r="Y179" i="7" s="1"/>
  <c r="AA179" i="7" s="1"/>
  <c r="AG179" i="7" s="1"/>
  <c r="AI179" i="7" s="1"/>
  <c r="AO179" i="7" s="1"/>
  <c r="AQ179" i="7" s="1"/>
  <c r="AW179" i="7" s="1"/>
  <c r="E182" i="13"/>
  <c r="G182" i="13" s="1"/>
  <c r="I184" i="7"/>
  <c r="K184" i="7" s="1"/>
  <c r="Q184" i="7" s="1"/>
  <c r="S184" i="7" s="1"/>
  <c r="Y184" i="7" s="1"/>
  <c r="AA184" i="7" s="1"/>
  <c r="AG184" i="7" s="1"/>
  <c r="AI184" i="7" s="1"/>
  <c r="AO184" i="7" s="1"/>
  <c r="AQ184" i="7" s="1"/>
  <c r="AW184" i="7" s="1"/>
  <c r="I188" i="7"/>
  <c r="K188" i="7" s="1"/>
  <c r="Q188" i="7" s="1"/>
  <c r="S188" i="7" s="1"/>
  <c r="Y188" i="7" s="1"/>
  <c r="AA188" i="7" s="1"/>
  <c r="AG188" i="7" s="1"/>
  <c r="AI188" i="7" s="1"/>
  <c r="AO188" i="7" s="1"/>
  <c r="AQ188" i="7" s="1"/>
  <c r="AW188" i="7" s="1"/>
  <c r="I192" i="7"/>
  <c r="K192" i="7" s="1"/>
  <c r="Q192" i="7" s="1"/>
  <c r="S192" i="7" s="1"/>
  <c r="Y192" i="7" s="1"/>
  <c r="AA192" i="7" s="1"/>
  <c r="AG192" i="7" s="1"/>
  <c r="AI192" i="7" s="1"/>
  <c r="AO192" i="7" s="1"/>
  <c r="AQ192" i="7" s="1"/>
  <c r="AW192" i="7" s="1"/>
  <c r="C195" i="7"/>
  <c r="I198" i="7"/>
  <c r="K198" i="7" s="1"/>
  <c r="Q198" i="7" s="1"/>
  <c r="S198" i="7" s="1"/>
  <c r="Y198" i="7" s="1"/>
  <c r="AA198" i="7" s="1"/>
  <c r="AG198" i="7" s="1"/>
  <c r="AI198" i="7" s="1"/>
  <c r="AO198" i="7" s="1"/>
  <c r="AQ198" i="7" s="1"/>
  <c r="AW198" i="7" s="1"/>
  <c r="G201" i="13"/>
  <c r="I203" i="7"/>
  <c r="K203" i="7" s="1"/>
  <c r="Q203" i="7" s="1"/>
  <c r="S203" i="7" s="1"/>
  <c r="Y203" i="7" s="1"/>
  <c r="AA203" i="7" s="1"/>
  <c r="AG203" i="7" s="1"/>
  <c r="AI203" i="7" s="1"/>
  <c r="AO203" i="7" s="1"/>
  <c r="AQ203" i="7" s="1"/>
  <c r="AW203" i="7" s="1"/>
  <c r="I207" i="7"/>
  <c r="K207" i="7" s="1"/>
  <c r="Q207" i="7" s="1"/>
  <c r="S207" i="7" s="1"/>
  <c r="Y207" i="7" s="1"/>
  <c r="AA207" i="7" s="1"/>
  <c r="AG207" i="7" s="1"/>
  <c r="AI207" i="7" s="1"/>
  <c r="AO207" i="7" s="1"/>
  <c r="AQ207" i="7" s="1"/>
  <c r="AW207" i="7" s="1"/>
  <c r="I211" i="7"/>
  <c r="K211" i="7" s="1"/>
  <c r="Q211" i="7" s="1"/>
  <c r="S211" i="7" s="1"/>
  <c r="Y211" i="7" s="1"/>
  <c r="AA211" i="7" s="1"/>
  <c r="AG211" i="7" s="1"/>
  <c r="AI211" i="7" s="1"/>
  <c r="AO211" i="7" s="1"/>
  <c r="AQ211" i="7" s="1"/>
  <c r="AW211" i="7" s="1"/>
  <c r="C214" i="7"/>
  <c r="I217" i="7"/>
  <c r="K217" i="7" s="1"/>
  <c r="Q217" i="7" s="1"/>
  <c r="S217" i="7" s="1"/>
  <c r="Y217" i="7" s="1"/>
  <c r="AA217" i="7" s="1"/>
  <c r="AG217" i="7" s="1"/>
  <c r="AI217" i="7" s="1"/>
  <c r="AO217" i="7" s="1"/>
  <c r="AQ217" i="7" s="1"/>
  <c r="AW217" i="7" s="1"/>
  <c r="G220" i="13"/>
  <c r="I222" i="7"/>
  <c r="K222" i="7" s="1"/>
  <c r="Q222" i="7" s="1"/>
  <c r="S222" i="7" s="1"/>
  <c r="Y222" i="7" s="1"/>
  <c r="AA222" i="7" s="1"/>
  <c r="AG222" i="7" s="1"/>
  <c r="AI222" i="7" s="1"/>
  <c r="AO222" i="7" s="1"/>
  <c r="AQ222" i="7" s="1"/>
  <c r="AW222" i="7" s="1"/>
  <c r="I226" i="7"/>
  <c r="K226" i="7" s="1"/>
  <c r="Q226" i="7" s="1"/>
  <c r="S226" i="7" s="1"/>
  <c r="Y226" i="7" s="1"/>
  <c r="AA226" i="7" s="1"/>
  <c r="AG226" i="7" s="1"/>
  <c r="AI226" i="7" s="1"/>
  <c r="AO226" i="7" s="1"/>
  <c r="AQ226" i="7" s="1"/>
  <c r="AW226" i="7" s="1"/>
  <c r="I230" i="7"/>
  <c r="K230" i="7" s="1"/>
  <c r="Q230" i="7" s="1"/>
  <c r="S230" i="7" s="1"/>
  <c r="Y230" i="7" s="1"/>
  <c r="AA230" i="7" s="1"/>
  <c r="AG230" i="7" s="1"/>
  <c r="AI230" i="7" s="1"/>
  <c r="AO230" i="7" s="1"/>
  <c r="AQ230" i="7" s="1"/>
  <c r="AW230" i="7" s="1"/>
  <c r="C233" i="7"/>
  <c r="H252" i="7"/>
  <c r="P252" i="7"/>
  <c r="X252" i="7"/>
  <c r="AF252" i="7"/>
  <c r="AN252" i="7"/>
  <c r="AV252" i="7"/>
  <c r="I236" i="7"/>
  <c r="K236" i="7" s="1"/>
  <c r="Q236" i="7" s="1"/>
  <c r="S236" i="7" s="1"/>
  <c r="Y236" i="7" s="1"/>
  <c r="AA236" i="7" s="1"/>
  <c r="AG236" i="7" s="1"/>
  <c r="AI236" i="7" s="1"/>
  <c r="AO236" i="7" s="1"/>
  <c r="AQ236" i="7" s="1"/>
  <c r="AW236" i="7" s="1"/>
  <c r="E239" i="13"/>
  <c r="D252" i="7"/>
  <c r="A34" i="18" s="1"/>
  <c r="F34" i="18" s="1"/>
  <c r="I241" i="7"/>
  <c r="K241" i="7" s="1"/>
  <c r="Q241" i="7" s="1"/>
  <c r="S241" i="7" s="1"/>
  <c r="Y241" i="7" s="1"/>
  <c r="AA241" i="7" s="1"/>
  <c r="AG241" i="7" s="1"/>
  <c r="AI241" i="7" s="1"/>
  <c r="AO241" i="7" s="1"/>
  <c r="AQ241" i="7" s="1"/>
  <c r="AW241" i="7" s="1"/>
  <c r="V245" i="7"/>
  <c r="V244" i="13" s="1"/>
  <c r="AD245" i="7"/>
  <c r="AD244" i="13" s="1"/>
  <c r="AL245" i="7"/>
  <c r="AL244" i="13" s="1"/>
  <c r="V247" i="7"/>
  <c r="V246" i="13" s="1"/>
  <c r="AD247" i="7"/>
  <c r="AD246" i="13" s="1"/>
  <c r="AL247" i="7"/>
  <c r="AL246" i="13" s="1"/>
  <c r="V249" i="7"/>
  <c r="V248" i="13" s="1"/>
  <c r="AD249" i="7"/>
  <c r="AD248" i="13" s="1"/>
  <c r="AL249" i="7"/>
  <c r="AL248" i="13" s="1"/>
  <c r="V251" i="7"/>
  <c r="V250" i="13" s="1"/>
  <c r="AD251" i="7"/>
  <c r="AD250" i="13" s="1"/>
  <c r="AL251" i="7"/>
  <c r="AL250" i="13" s="1"/>
  <c r="E252" i="7"/>
  <c r="F236" i="7" s="1"/>
  <c r="AK252" i="7"/>
  <c r="N267" i="7"/>
  <c r="N266" i="13" s="1"/>
  <c r="N263" i="7"/>
  <c r="N262" i="13" s="1"/>
  <c r="N259" i="7"/>
  <c r="N258" i="13" s="1"/>
  <c r="N269" i="7"/>
  <c r="N268" i="13" s="1"/>
  <c r="N265" i="7"/>
  <c r="N264" i="13" s="1"/>
  <c r="N261" i="7"/>
  <c r="N260" i="13" s="1"/>
  <c r="M17" i="10"/>
  <c r="AD267" i="7"/>
  <c r="AD266" i="13" s="1"/>
  <c r="AD263" i="7"/>
  <c r="AD262" i="13" s="1"/>
  <c r="AD259" i="7"/>
  <c r="AD258" i="13" s="1"/>
  <c r="AD269" i="7"/>
  <c r="AD268" i="13" s="1"/>
  <c r="AD265" i="7"/>
  <c r="AD264" i="13" s="1"/>
  <c r="AD261" i="7"/>
  <c r="AD260" i="13" s="1"/>
  <c r="AG17" i="10"/>
  <c r="BA17" i="10"/>
  <c r="AT267" i="7"/>
  <c r="AT266" i="13" s="1"/>
  <c r="AT263" i="7"/>
  <c r="AT262" i="13" s="1"/>
  <c r="AT259" i="7"/>
  <c r="AT258" i="13" s="1"/>
  <c r="AT269" i="7"/>
  <c r="AT268" i="13" s="1"/>
  <c r="AT265" i="7"/>
  <c r="AT264" i="13" s="1"/>
  <c r="AT261" i="7"/>
  <c r="AT260" i="13" s="1"/>
  <c r="F259" i="13"/>
  <c r="J260" i="7"/>
  <c r="L260" i="7" s="1"/>
  <c r="F264" i="7"/>
  <c r="V264" i="7"/>
  <c r="V263" i="13" s="1"/>
  <c r="AL264" i="7"/>
  <c r="AL263" i="13" s="1"/>
  <c r="V266" i="7"/>
  <c r="V265" i="13" s="1"/>
  <c r="AL266" i="7"/>
  <c r="AL265" i="13" s="1"/>
  <c r="F268" i="7"/>
  <c r="V268" i="7"/>
  <c r="V267" i="13" s="1"/>
  <c r="AL268" i="7"/>
  <c r="AL267" i="13" s="1"/>
  <c r="V270" i="7"/>
  <c r="V269" i="13" s="1"/>
  <c r="AL270" i="7"/>
  <c r="AL269" i="13" s="1"/>
  <c r="N276" i="7"/>
  <c r="N275" i="13" s="1"/>
  <c r="AD276" i="7"/>
  <c r="AD275" i="13" s="1"/>
  <c r="AT276" i="7"/>
  <c r="AT275" i="13" s="1"/>
  <c r="N280" i="7"/>
  <c r="N279" i="13" s="1"/>
  <c r="AD280" i="7"/>
  <c r="AD279" i="13" s="1"/>
  <c r="AT280" i="7"/>
  <c r="AT279" i="13" s="1"/>
  <c r="AD282" i="7"/>
  <c r="AD281" i="13" s="1"/>
  <c r="AD283" i="7"/>
  <c r="AD282" i="13" s="1"/>
  <c r="AD284" i="7"/>
  <c r="AD283" i="13" s="1"/>
  <c r="AD285" i="7"/>
  <c r="AD284" i="13" s="1"/>
  <c r="AD286" i="7"/>
  <c r="AD285" i="13" s="1"/>
  <c r="AD287" i="7"/>
  <c r="AD286" i="13" s="1"/>
  <c r="BG24" i="8"/>
  <c r="BG29" i="8"/>
  <c r="BG33" i="8"/>
  <c r="BI44" i="8"/>
  <c r="AV23" i="8"/>
  <c r="AV61" i="8"/>
  <c r="AT5" i="8"/>
  <c r="I45" i="8"/>
  <c r="AI45" i="8"/>
  <c r="BG46" i="8"/>
  <c r="AU46" i="8"/>
  <c r="I47" i="8"/>
  <c r="AI47" i="8"/>
  <c r="BG48" i="8"/>
  <c r="V50" i="8"/>
  <c r="AG52" i="8"/>
  <c r="AP52" i="8" s="1"/>
  <c r="AS52" i="8" s="1"/>
  <c r="BC52" i="8" s="1"/>
  <c r="BF52" i="8" s="1"/>
  <c r="BP52" i="8" s="1"/>
  <c r="BS52" i="8" s="1"/>
  <c r="V52" i="8"/>
  <c r="AU53" i="8"/>
  <c r="BG53" i="8"/>
  <c r="I54" i="8"/>
  <c r="P54" i="8"/>
  <c r="T54" i="8" s="1"/>
  <c r="AC54" i="8" s="1"/>
  <c r="BI55" i="8"/>
  <c r="AT16" i="8"/>
  <c r="AV34" i="8"/>
  <c r="AW16" i="8" s="1"/>
  <c r="AV37" i="8"/>
  <c r="BI58" i="8"/>
  <c r="X55" i="9"/>
  <c r="AA55" i="9" s="1"/>
  <c r="X61" i="9"/>
  <c r="AA61" i="9" s="1"/>
  <c r="N61" i="9"/>
  <c r="J6" i="10"/>
  <c r="T6" i="10"/>
  <c r="AD6" i="10"/>
  <c r="AN6" i="10"/>
  <c r="D195" i="7"/>
  <c r="A31" i="18" s="1"/>
  <c r="F31" i="18" s="1"/>
  <c r="D214" i="7"/>
  <c r="D233" i="7"/>
  <c r="A33" i="18" s="1"/>
  <c r="F33" i="18" s="1"/>
  <c r="I240" i="7"/>
  <c r="K240" i="7" s="1"/>
  <c r="Q240" i="7" s="1"/>
  <c r="S240" i="7" s="1"/>
  <c r="Y240" i="7" s="1"/>
  <c r="AA240" i="7" s="1"/>
  <c r="AG240" i="7" s="1"/>
  <c r="AI240" i="7" s="1"/>
  <c r="AO240" i="7" s="1"/>
  <c r="AQ240" i="7" s="1"/>
  <c r="AW240" i="7" s="1"/>
  <c r="AD243" i="7"/>
  <c r="AD242" i="13" s="1"/>
  <c r="M252" i="7"/>
  <c r="AS252" i="7"/>
  <c r="AT241" i="7" s="1"/>
  <c r="AT240" i="13" s="1"/>
  <c r="I254" i="7"/>
  <c r="C271" i="7"/>
  <c r="N254" i="7"/>
  <c r="N253" i="13" s="1"/>
  <c r="AD254" i="7"/>
  <c r="AD253" i="13" s="1"/>
  <c r="AT254" i="7"/>
  <c r="AT253" i="13" s="1"/>
  <c r="N256" i="7"/>
  <c r="N255" i="13" s="1"/>
  <c r="AD256" i="7"/>
  <c r="AD255" i="13" s="1"/>
  <c r="AT256" i="7"/>
  <c r="AT255" i="13" s="1"/>
  <c r="N258" i="7"/>
  <c r="N257" i="13" s="1"/>
  <c r="AD258" i="7"/>
  <c r="AD257" i="13" s="1"/>
  <c r="AT258" i="7"/>
  <c r="AT257" i="13" s="1"/>
  <c r="N289" i="7"/>
  <c r="N288" i="13" s="1"/>
  <c r="N288" i="7"/>
  <c r="N287" i="13" s="1"/>
  <c r="AD289" i="7"/>
  <c r="AD288" i="13" s="1"/>
  <c r="AD288" i="7"/>
  <c r="AD287" i="13" s="1"/>
  <c r="AT289" i="7"/>
  <c r="AT288" i="13" s="1"/>
  <c r="AT288" i="7"/>
  <c r="AT287" i="13" s="1"/>
  <c r="N277" i="7"/>
  <c r="N276" i="13" s="1"/>
  <c r="AD277" i="7"/>
  <c r="AD276" i="13" s="1"/>
  <c r="AT277" i="7"/>
  <c r="AT276" i="13" s="1"/>
  <c r="N281" i="7"/>
  <c r="N280" i="13" s="1"/>
  <c r="AD281" i="7"/>
  <c r="AD280" i="13" s="1"/>
  <c r="AT281" i="7"/>
  <c r="AT280" i="13" s="1"/>
  <c r="V284" i="7"/>
  <c r="V283" i="13" s="1"/>
  <c r="V285" i="7"/>
  <c r="V284" i="13" s="1"/>
  <c r="V286" i="7"/>
  <c r="V285" i="13" s="1"/>
  <c r="V287" i="7"/>
  <c r="V286" i="13" s="1"/>
  <c r="BG27" i="8"/>
  <c r="BG30" i="8"/>
  <c r="BI45" i="8"/>
  <c r="AT6" i="8"/>
  <c r="AV24" i="8"/>
  <c r="AW6" i="8" s="1"/>
  <c r="AV25" i="8"/>
  <c r="AW7" i="8" s="1"/>
  <c r="BI46" i="8"/>
  <c r="AT7" i="8"/>
  <c r="AT8" i="8"/>
  <c r="AV26" i="8"/>
  <c r="AW8" i="8" s="1"/>
  <c r="BI47" i="8"/>
  <c r="BI48" i="8"/>
  <c r="AV27" i="8"/>
  <c r="AW9" i="8" s="1"/>
  <c r="AT9" i="8"/>
  <c r="AU52" i="8"/>
  <c r="BG52" i="8"/>
  <c r="I53" i="8"/>
  <c r="BI53" i="8"/>
  <c r="AV32" i="8"/>
  <c r="AW14" i="8" s="1"/>
  <c r="AT14" i="8"/>
  <c r="V54" i="8"/>
  <c r="BG56" i="8"/>
  <c r="I57" i="8"/>
  <c r="P57" i="8"/>
  <c r="AV36" i="8"/>
  <c r="AT18" i="8"/>
  <c r="BI57" i="8"/>
  <c r="I60" i="8"/>
  <c r="K60" i="8" s="1"/>
  <c r="Z26" i="9"/>
  <c r="N7" i="9" s="1"/>
  <c r="E64" i="19" s="1"/>
  <c r="X26" i="9"/>
  <c r="AA26" i="9" s="1"/>
  <c r="Z27" i="9"/>
  <c r="N8" i="9" s="1"/>
  <c r="E65" i="19" s="1"/>
  <c r="X27" i="9"/>
  <c r="AA27" i="9" s="1"/>
  <c r="Z28" i="9"/>
  <c r="N9" i="9" s="1"/>
  <c r="E66" i="19" s="1"/>
  <c r="X28" i="9"/>
  <c r="AA28" i="9" s="1"/>
  <c r="Z47" i="9"/>
  <c r="M6" i="9" s="1"/>
  <c r="D63" i="19" s="1"/>
  <c r="X47" i="9"/>
  <c r="AA47" i="9" s="1"/>
  <c r="N47" i="9"/>
  <c r="G6" i="9" s="1"/>
  <c r="D25" i="19" s="1"/>
  <c r="X49" i="9"/>
  <c r="AA49" i="9" s="1"/>
  <c r="Z49" i="9"/>
  <c r="M8" i="9" s="1"/>
  <c r="D65" i="19" s="1"/>
  <c r="N49" i="9"/>
  <c r="G8" i="9" s="1"/>
  <c r="D27" i="19" s="1"/>
  <c r="T51" i="9"/>
  <c r="J10" i="9" s="1"/>
  <c r="D48" i="19" s="1"/>
  <c r="H53" i="9"/>
  <c r="D12" i="9" s="1"/>
  <c r="D12" i="19" s="1"/>
  <c r="T53" i="9"/>
  <c r="J12" i="9" s="1"/>
  <c r="D50" i="19" s="1"/>
  <c r="Z59" i="9"/>
  <c r="X59" i="9"/>
  <c r="AA59" i="9" s="1"/>
  <c r="I159" i="7"/>
  <c r="J183" i="7"/>
  <c r="L183" i="7" s="1"/>
  <c r="J202" i="7"/>
  <c r="L202" i="7" s="1"/>
  <c r="J221" i="7"/>
  <c r="L221" i="7" s="1"/>
  <c r="V235" i="7"/>
  <c r="V234" i="13" s="1"/>
  <c r="V251" i="13" s="1"/>
  <c r="I245" i="7"/>
  <c r="K245" i="7" s="1"/>
  <c r="Q245" i="7" s="1"/>
  <c r="S245" i="7" s="1"/>
  <c r="Y245" i="7" s="1"/>
  <c r="AA245" i="7" s="1"/>
  <c r="AG245" i="7" s="1"/>
  <c r="AI245" i="7" s="1"/>
  <c r="AO245" i="7" s="1"/>
  <c r="AQ245" i="7" s="1"/>
  <c r="AW245" i="7" s="1"/>
  <c r="I247" i="7"/>
  <c r="K247" i="7" s="1"/>
  <c r="Q247" i="7" s="1"/>
  <c r="S247" i="7" s="1"/>
  <c r="Y247" i="7" s="1"/>
  <c r="AA247" i="7" s="1"/>
  <c r="AG247" i="7" s="1"/>
  <c r="AI247" i="7" s="1"/>
  <c r="AO247" i="7" s="1"/>
  <c r="AQ247" i="7" s="1"/>
  <c r="AW247" i="7" s="1"/>
  <c r="I249" i="7"/>
  <c r="K249" i="7" s="1"/>
  <c r="Q249" i="7" s="1"/>
  <c r="S249" i="7" s="1"/>
  <c r="Y249" i="7" s="1"/>
  <c r="AA249" i="7" s="1"/>
  <c r="AG249" i="7" s="1"/>
  <c r="AI249" i="7" s="1"/>
  <c r="AO249" i="7" s="1"/>
  <c r="AQ249" i="7" s="1"/>
  <c r="AW249" i="7" s="1"/>
  <c r="I251" i="7"/>
  <c r="K251" i="7" s="1"/>
  <c r="Q251" i="7" s="1"/>
  <c r="S251" i="7" s="1"/>
  <c r="Y251" i="7" s="1"/>
  <c r="AA251" i="7" s="1"/>
  <c r="AG251" i="7" s="1"/>
  <c r="AI251" i="7" s="1"/>
  <c r="AO251" i="7" s="1"/>
  <c r="AQ251" i="7" s="1"/>
  <c r="AW251" i="7" s="1"/>
  <c r="F267" i="7"/>
  <c r="F263" i="7"/>
  <c r="F269" i="7"/>
  <c r="F265" i="7"/>
  <c r="F261" i="7"/>
  <c r="C17" i="10"/>
  <c r="V267" i="7"/>
  <c r="V266" i="13" s="1"/>
  <c r="V263" i="7"/>
  <c r="V262" i="13" s="1"/>
  <c r="V259" i="7"/>
  <c r="V258" i="13" s="1"/>
  <c r="V269" i="7"/>
  <c r="V268" i="13" s="1"/>
  <c r="V265" i="7"/>
  <c r="V264" i="13" s="1"/>
  <c r="V261" i="7"/>
  <c r="V260" i="13" s="1"/>
  <c r="W17" i="10"/>
  <c r="AL267" i="7"/>
  <c r="AL266" i="13" s="1"/>
  <c r="AL263" i="7"/>
  <c r="AL262" i="13" s="1"/>
  <c r="AL259" i="7"/>
  <c r="AL258" i="13" s="1"/>
  <c r="AL269" i="7"/>
  <c r="AL268" i="13" s="1"/>
  <c r="AL265" i="7"/>
  <c r="AL264" i="13" s="1"/>
  <c r="AL261" i="7"/>
  <c r="AL260" i="13" s="1"/>
  <c r="AQ17" i="10"/>
  <c r="F255" i="7"/>
  <c r="N255" i="7"/>
  <c r="N254" i="13" s="1"/>
  <c r="V255" i="7"/>
  <c r="V254" i="13" s="1"/>
  <c r="AD255" i="7"/>
  <c r="AD254" i="13" s="1"/>
  <c r="AL255" i="7"/>
  <c r="AL254" i="13" s="1"/>
  <c r="AT255" i="7"/>
  <c r="AT254" i="13" s="1"/>
  <c r="F257" i="7"/>
  <c r="N257" i="7"/>
  <c r="N256" i="13" s="1"/>
  <c r="V257" i="7"/>
  <c r="V256" i="13" s="1"/>
  <c r="AD257" i="7"/>
  <c r="AD256" i="13" s="1"/>
  <c r="AL257" i="7"/>
  <c r="AL256" i="13" s="1"/>
  <c r="AT257" i="7"/>
  <c r="AT256" i="13" s="1"/>
  <c r="E258" i="13"/>
  <c r="G258" i="13" s="1"/>
  <c r="J259" i="7"/>
  <c r="L259" i="7" s="1"/>
  <c r="D271" i="7"/>
  <c r="A35" i="18" s="1"/>
  <c r="F35" i="18" s="1"/>
  <c r="N260" i="7"/>
  <c r="N259" i="13" s="1"/>
  <c r="AD260" i="7"/>
  <c r="AD259" i="13" s="1"/>
  <c r="AT260" i="7"/>
  <c r="AT259" i="13" s="1"/>
  <c r="N262" i="7"/>
  <c r="N261" i="13" s="1"/>
  <c r="AD262" i="7"/>
  <c r="AD261" i="13" s="1"/>
  <c r="AT262" i="7"/>
  <c r="AT261" i="13" s="1"/>
  <c r="N264" i="7"/>
  <c r="N263" i="13" s="1"/>
  <c r="AD264" i="7"/>
  <c r="AD263" i="13" s="1"/>
  <c r="AT264" i="7"/>
  <c r="AT263" i="13" s="1"/>
  <c r="N266" i="7"/>
  <c r="N265" i="13" s="1"/>
  <c r="AD266" i="7"/>
  <c r="AD265" i="13" s="1"/>
  <c r="AT266" i="7"/>
  <c r="AT265" i="13" s="1"/>
  <c r="N268" i="7"/>
  <c r="N267" i="13" s="1"/>
  <c r="AD268" i="7"/>
  <c r="AD267" i="13" s="1"/>
  <c r="AT268" i="7"/>
  <c r="AT267" i="13" s="1"/>
  <c r="N270" i="7"/>
  <c r="N269" i="13" s="1"/>
  <c r="AD270" i="7"/>
  <c r="AD269" i="13" s="1"/>
  <c r="AT270" i="7"/>
  <c r="AT269" i="13" s="1"/>
  <c r="I290" i="7"/>
  <c r="K273" i="7"/>
  <c r="N278" i="7"/>
  <c r="N277" i="13" s="1"/>
  <c r="AD278" i="7"/>
  <c r="AD277" i="13" s="1"/>
  <c r="AT278" i="7"/>
  <c r="AT277" i="13" s="1"/>
  <c r="N282" i="7"/>
  <c r="N281" i="13" s="1"/>
  <c r="AT282" i="7"/>
  <c r="AT281" i="13" s="1"/>
  <c r="N283" i="7"/>
  <c r="N282" i="13" s="1"/>
  <c r="AT283" i="7"/>
  <c r="AT282" i="13" s="1"/>
  <c r="N284" i="7"/>
  <c r="N283" i="13" s="1"/>
  <c r="AT284" i="7"/>
  <c r="AT283" i="13" s="1"/>
  <c r="N285" i="7"/>
  <c r="N284" i="13" s="1"/>
  <c r="AT285" i="7"/>
  <c r="AT284" i="13" s="1"/>
  <c r="N286" i="7"/>
  <c r="N285" i="13" s="1"/>
  <c r="AT286" i="7"/>
  <c r="AT285" i="13" s="1"/>
  <c r="N287" i="7"/>
  <c r="N286" i="13" s="1"/>
  <c r="AT287" i="7"/>
  <c r="AT286" i="13" s="1"/>
  <c r="BG23" i="8"/>
  <c r="BG26" i="8"/>
  <c r="BG31" i="8"/>
  <c r="BG35" i="8"/>
  <c r="BG37" i="8"/>
  <c r="BG39" i="8"/>
  <c r="V44" i="8"/>
  <c r="V46" i="8"/>
  <c r="V48" i="8"/>
  <c r="I49" i="8"/>
  <c r="AI49" i="8"/>
  <c r="I50" i="8"/>
  <c r="BG50" i="8"/>
  <c r="AU50" i="8"/>
  <c r="I51" i="8"/>
  <c r="AI51" i="8"/>
  <c r="BI52" i="8"/>
  <c r="AV31" i="8"/>
  <c r="AW13" i="8" s="1"/>
  <c r="AT13" i="8"/>
  <c r="BG54" i="8"/>
  <c r="I55" i="8"/>
  <c r="P55" i="8"/>
  <c r="AV35" i="8"/>
  <c r="AW17" i="8" s="1"/>
  <c r="BI56" i="8"/>
  <c r="AT17" i="8"/>
  <c r="I59" i="8"/>
  <c r="K59" i="8" s="1"/>
  <c r="P59" i="8"/>
  <c r="P61" i="8" s="1"/>
  <c r="BI59" i="8"/>
  <c r="AV38" i="8"/>
  <c r="T60" i="8"/>
  <c r="BG60" i="8"/>
  <c r="X53" i="9"/>
  <c r="AA53" i="9" s="1"/>
  <c r="Z53" i="9"/>
  <c r="M12" i="9" s="1"/>
  <c r="D69" i="19" s="1"/>
  <c r="N53" i="9"/>
  <c r="G12" i="9" s="1"/>
  <c r="D31" i="19" s="1"/>
  <c r="I25" i="9"/>
  <c r="L25" i="9" s="1"/>
  <c r="O25" i="9" s="1"/>
  <c r="R25" i="9" s="1"/>
  <c r="U25" i="9" s="1"/>
  <c r="H25" i="9"/>
  <c r="E6" i="9" s="1"/>
  <c r="E6" i="19" s="1"/>
  <c r="F262" i="7"/>
  <c r="F266" i="7"/>
  <c r="F270" i="7"/>
  <c r="F273" i="7"/>
  <c r="F272" i="13" s="1"/>
  <c r="F289" i="13" s="1"/>
  <c r="N273" i="7"/>
  <c r="N272" i="13" s="1"/>
  <c r="N289" i="13" s="1"/>
  <c r="V273" i="7"/>
  <c r="V272" i="13" s="1"/>
  <c r="V289" i="13" s="1"/>
  <c r="AD273" i="7"/>
  <c r="AD272" i="13" s="1"/>
  <c r="AD289" i="13" s="1"/>
  <c r="AL273" i="7"/>
  <c r="AL272" i="13" s="1"/>
  <c r="AL289" i="13" s="1"/>
  <c r="AT273" i="7"/>
  <c r="AT272" i="13" s="1"/>
  <c r="AT289" i="13" s="1"/>
  <c r="J283" i="7"/>
  <c r="L283" i="7" s="1"/>
  <c r="J284" i="7"/>
  <c r="L284" i="7" s="1"/>
  <c r="J285" i="7"/>
  <c r="L285" i="7" s="1"/>
  <c r="J286" i="7"/>
  <c r="L286" i="7" s="1"/>
  <c r="J287" i="7"/>
  <c r="L287" i="7" s="1"/>
  <c r="J288" i="7"/>
  <c r="L288" i="7" s="1"/>
  <c r="J289" i="7"/>
  <c r="L289" i="7" s="1"/>
  <c r="R19" i="8"/>
  <c r="BR19" i="8"/>
  <c r="AT32" i="8"/>
  <c r="AT36" i="8"/>
  <c r="I44" i="8"/>
  <c r="AG44" i="8"/>
  <c r="V45" i="8"/>
  <c r="AT45" i="8"/>
  <c r="G46" i="8"/>
  <c r="G61" i="8" s="1"/>
  <c r="AI46" i="8"/>
  <c r="T47" i="8"/>
  <c r="V47" i="8" s="1"/>
  <c r="I48" i="8"/>
  <c r="AG48" i="8"/>
  <c r="AP48" i="8" s="1"/>
  <c r="V49" i="8"/>
  <c r="AT49" i="8"/>
  <c r="G50" i="8"/>
  <c r="AI50" i="8"/>
  <c r="T51" i="8"/>
  <c r="V51" i="8" s="1"/>
  <c r="I52" i="8"/>
  <c r="V53" i="8"/>
  <c r="C61" i="8"/>
  <c r="F46" i="9"/>
  <c r="F50" i="9"/>
  <c r="I50" i="9" s="1"/>
  <c r="F54" i="9"/>
  <c r="I54" i="9" s="1"/>
  <c r="F58" i="9"/>
  <c r="I58" i="9" s="1"/>
  <c r="F62" i="9"/>
  <c r="I62" i="9" s="1"/>
  <c r="BH6" i="10"/>
  <c r="T7" i="10"/>
  <c r="AN7" i="10"/>
  <c r="BH7" i="10"/>
  <c r="T8" i="10"/>
  <c r="AN8" i="10"/>
  <c r="BH8" i="10"/>
  <c r="T9" i="10"/>
  <c r="AN9" i="10"/>
  <c r="E39" i="12"/>
  <c r="J102" i="13"/>
  <c r="I102" i="13"/>
  <c r="J104" i="13"/>
  <c r="I104" i="13"/>
  <c r="J106" i="13"/>
  <c r="I106" i="13"/>
  <c r="J108" i="13"/>
  <c r="I108" i="13"/>
  <c r="J110" i="13"/>
  <c r="I110" i="13"/>
  <c r="J112" i="13"/>
  <c r="I112" i="13"/>
  <c r="J114" i="13"/>
  <c r="I114" i="13"/>
  <c r="J116" i="13"/>
  <c r="I116" i="13"/>
  <c r="I260" i="7"/>
  <c r="K260" i="7" s="1"/>
  <c r="Q260" i="7" s="1"/>
  <c r="S260" i="7" s="1"/>
  <c r="Y260" i="7" s="1"/>
  <c r="AA260" i="7" s="1"/>
  <c r="AG260" i="7" s="1"/>
  <c r="AI260" i="7" s="1"/>
  <c r="AO260" i="7" s="1"/>
  <c r="AQ260" i="7" s="1"/>
  <c r="AW260" i="7" s="1"/>
  <c r="I264" i="7"/>
  <c r="K264" i="7" s="1"/>
  <c r="Q264" i="7" s="1"/>
  <c r="S264" i="7" s="1"/>
  <c r="Y264" i="7" s="1"/>
  <c r="AA264" i="7" s="1"/>
  <c r="AG264" i="7" s="1"/>
  <c r="AI264" i="7" s="1"/>
  <c r="AO264" i="7" s="1"/>
  <c r="AQ264" i="7" s="1"/>
  <c r="AW264" i="7" s="1"/>
  <c r="I268" i="7"/>
  <c r="K268" i="7" s="1"/>
  <c r="Q268" i="7" s="1"/>
  <c r="S268" i="7" s="1"/>
  <c r="Y268" i="7" s="1"/>
  <c r="AA268" i="7" s="1"/>
  <c r="AG268" i="7" s="1"/>
  <c r="AI268" i="7" s="1"/>
  <c r="AO268" i="7" s="1"/>
  <c r="AQ268" i="7" s="1"/>
  <c r="AW268" i="7" s="1"/>
  <c r="C290" i="7"/>
  <c r="G290" i="7"/>
  <c r="O290" i="7"/>
  <c r="W290" i="7"/>
  <c r="AE290" i="7"/>
  <c r="AM290" i="7"/>
  <c r="AU290" i="7"/>
  <c r="F19" i="19"/>
  <c r="C7" i="23" s="1"/>
  <c r="U5" i="19"/>
  <c r="AE19" i="8"/>
  <c r="H46" i="9"/>
  <c r="AV5" i="10"/>
  <c r="BF5" i="10"/>
  <c r="J100" i="19"/>
  <c r="AB39" i="12"/>
  <c r="AE38" i="12"/>
  <c r="AH38" i="12"/>
  <c r="AK38" i="12" s="1"/>
  <c r="D273" i="7"/>
  <c r="D274" i="7"/>
  <c r="D275" i="7"/>
  <c r="D276" i="7"/>
  <c r="D277" i="7"/>
  <c r="D278" i="7"/>
  <c r="D297" i="7" s="1"/>
  <c r="D279" i="7"/>
  <c r="D280" i="7"/>
  <c r="D281" i="7"/>
  <c r="D282" i="7"/>
  <c r="G282" i="13"/>
  <c r="G283" i="13"/>
  <c r="G284" i="13"/>
  <c r="G285" i="13"/>
  <c r="G286" i="13"/>
  <c r="G287" i="13"/>
  <c r="G288" i="13"/>
  <c r="D302" i="7"/>
  <c r="D303" i="7"/>
  <c r="D304" i="7"/>
  <c r="D305" i="7"/>
  <c r="D306" i="7"/>
  <c r="D307" i="7"/>
  <c r="D308" i="7"/>
  <c r="AR19" i="8"/>
  <c r="AT34" i="8"/>
  <c r="AT38" i="8"/>
  <c r="AI44" i="8"/>
  <c r="AT47" i="8"/>
  <c r="AT51" i="8"/>
  <c r="AT57" i="8"/>
  <c r="AT59" i="8"/>
  <c r="AJ61" i="8"/>
  <c r="H26" i="9"/>
  <c r="E7" i="9" s="1"/>
  <c r="E7" i="19" s="1"/>
  <c r="H27" i="9"/>
  <c r="E8" i="9" s="1"/>
  <c r="E8" i="19" s="1"/>
  <c r="H28" i="9"/>
  <c r="E9" i="9" s="1"/>
  <c r="E9" i="19" s="1"/>
  <c r="F48" i="9"/>
  <c r="I48" i="9" s="1"/>
  <c r="F52" i="9"/>
  <c r="I52" i="9" s="1"/>
  <c r="F56" i="9"/>
  <c r="I56" i="9" s="1"/>
  <c r="F60" i="9"/>
  <c r="I60" i="9" s="1"/>
  <c r="I5" i="10"/>
  <c r="I22" i="10" s="1"/>
  <c r="S5" i="10"/>
  <c r="Y22" i="10"/>
  <c r="AC5" i="10"/>
  <c r="AM5" i="10"/>
  <c r="AS22" i="10"/>
  <c r="AW5" i="10"/>
  <c r="AW22" i="10" s="1"/>
  <c r="BC22" i="10"/>
  <c r="BG5" i="10"/>
  <c r="J7" i="10"/>
  <c r="AD7" i="10"/>
  <c r="AX7" i="10"/>
  <c r="J8" i="10"/>
  <c r="AD8" i="10"/>
  <c r="AX8" i="10"/>
  <c r="J9" i="10"/>
  <c r="AD9" i="10"/>
  <c r="AT9" i="10"/>
  <c r="AT22" i="10" s="1"/>
  <c r="H11" i="10"/>
  <c r="E30" i="9" s="1"/>
  <c r="F30" i="9" s="1"/>
  <c r="AB12" i="10"/>
  <c r="Q31" i="9" s="1"/>
  <c r="AM13" i="10"/>
  <c r="AW13" i="10"/>
  <c r="BG13" i="10"/>
  <c r="I14" i="10"/>
  <c r="S14" i="10"/>
  <c r="AC14" i="10"/>
  <c r="AM14" i="10"/>
  <c r="AW14" i="10"/>
  <c r="BG14" i="10"/>
  <c r="I15" i="10"/>
  <c r="S15" i="10"/>
  <c r="AC15" i="10"/>
  <c r="AM15" i="10"/>
  <c r="AW15" i="10"/>
  <c r="BG15" i="10"/>
  <c r="I16" i="10"/>
  <c r="S16" i="10"/>
  <c r="AC16" i="10"/>
  <c r="AM16" i="10"/>
  <c r="AW16" i="10"/>
  <c r="BG16" i="10"/>
  <c r="I17" i="10"/>
  <c r="S17" i="10"/>
  <c r="AC17" i="10"/>
  <c r="AM17" i="10"/>
  <c r="AW17" i="10"/>
  <c r="AC39" i="12"/>
  <c r="I103" i="13"/>
  <c r="K103" i="13" s="1"/>
  <c r="J103" i="13"/>
  <c r="I105" i="13"/>
  <c r="K105" i="13" s="1"/>
  <c r="J105" i="13"/>
  <c r="I107" i="13"/>
  <c r="K107" i="13" s="1"/>
  <c r="J107" i="13"/>
  <c r="I109" i="13"/>
  <c r="K109" i="13" s="1"/>
  <c r="J109" i="13"/>
  <c r="I111" i="13"/>
  <c r="K111" i="13" s="1"/>
  <c r="J111" i="13"/>
  <c r="I113" i="13"/>
  <c r="K113" i="13" s="1"/>
  <c r="J113" i="13"/>
  <c r="I115" i="13"/>
  <c r="K115" i="13" s="1"/>
  <c r="J115" i="13"/>
  <c r="I117" i="13"/>
  <c r="K117" i="13" s="1"/>
  <c r="J117" i="13"/>
  <c r="E19" i="8"/>
  <c r="BE19" i="8"/>
  <c r="F5" i="10"/>
  <c r="P5" i="10"/>
  <c r="Z5" i="10"/>
  <c r="AJ5" i="10"/>
  <c r="AX5" i="10"/>
  <c r="BH5" i="10"/>
  <c r="AX6" i="10"/>
  <c r="AE39" i="12"/>
  <c r="G85" i="13"/>
  <c r="G89" i="13"/>
  <c r="G93" i="13"/>
  <c r="G97" i="13"/>
  <c r="BD9" i="10"/>
  <c r="BD22" i="10" s="1"/>
  <c r="F10" i="10"/>
  <c r="H10" i="10" s="1"/>
  <c r="E29" i="9" s="1"/>
  <c r="F29" i="9" s="1"/>
  <c r="P10" i="10"/>
  <c r="Z10" i="10"/>
  <c r="AJ10" i="10"/>
  <c r="AL10" i="10" s="1"/>
  <c r="W29" i="9" s="1"/>
  <c r="AT10" i="10"/>
  <c r="BD10" i="10"/>
  <c r="F11" i="10"/>
  <c r="P11" i="10"/>
  <c r="R11" i="10" s="1"/>
  <c r="K30" i="9" s="1"/>
  <c r="Z11" i="10"/>
  <c r="AJ11" i="10"/>
  <c r="AL11" i="10" s="1"/>
  <c r="W30" i="9" s="1"/>
  <c r="AT11" i="10"/>
  <c r="BD11" i="10"/>
  <c r="BF11" i="10" s="1"/>
  <c r="AI30" i="9" s="1"/>
  <c r="F12" i="10"/>
  <c r="H12" i="10" s="1"/>
  <c r="E31" i="9" s="1"/>
  <c r="F31" i="9" s="1"/>
  <c r="P12" i="10"/>
  <c r="Z12" i="10"/>
  <c r="AJ12" i="10"/>
  <c r="AT12" i="10"/>
  <c r="AV12" i="10" s="1"/>
  <c r="AC31" i="9" s="1"/>
  <c r="BD12" i="10"/>
  <c r="F13" i="10"/>
  <c r="P13" i="10"/>
  <c r="R13" i="10" s="1"/>
  <c r="K32" i="9" s="1"/>
  <c r="Z13" i="10"/>
  <c r="AJ13" i="10"/>
  <c r="AT13" i="10"/>
  <c r="BD13" i="10"/>
  <c r="F14" i="10"/>
  <c r="P14" i="10"/>
  <c r="Z14" i="10"/>
  <c r="AJ14" i="10"/>
  <c r="AT14" i="10"/>
  <c r="BD14" i="10"/>
  <c r="F15" i="10"/>
  <c r="P15" i="10"/>
  <c r="Z15" i="10"/>
  <c r="AJ15" i="10"/>
  <c r="AT15" i="10"/>
  <c r="BD15" i="10"/>
  <c r="F16" i="10"/>
  <c r="P16" i="10"/>
  <c r="Z16" i="10"/>
  <c r="AJ16" i="10"/>
  <c r="AT16" i="10"/>
  <c r="BD16" i="10"/>
  <c r="F17" i="10"/>
  <c r="P17" i="10"/>
  <c r="Z17" i="10"/>
  <c r="AJ17" i="10"/>
  <c r="AT17" i="10"/>
  <c r="BD17" i="10"/>
  <c r="BF17" i="10" s="1"/>
  <c r="AI36" i="9" s="1"/>
  <c r="F18" i="10"/>
  <c r="H18" i="10" s="1"/>
  <c r="E37" i="9" s="1"/>
  <c r="F37" i="9" s="1"/>
  <c r="P18" i="10"/>
  <c r="R18" i="10" s="1"/>
  <c r="K37" i="9" s="1"/>
  <c r="Z18" i="10"/>
  <c r="AJ18" i="10"/>
  <c r="AL18" i="10" s="1"/>
  <c r="W37" i="9" s="1"/>
  <c r="AT18" i="10"/>
  <c r="AV18" i="10" s="1"/>
  <c r="AC37" i="9" s="1"/>
  <c r="BD18" i="10"/>
  <c r="BF18" i="10" s="1"/>
  <c r="AI37" i="9" s="1"/>
  <c r="F19" i="10"/>
  <c r="P19" i="10"/>
  <c r="R19" i="10" s="1"/>
  <c r="K38" i="9" s="1"/>
  <c r="Z19" i="10"/>
  <c r="AB19" i="10" s="1"/>
  <c r="Q38" i="9" s="1"/>
  <c r="AJ19" i="10"/>
  <c r="AL19" i="10" s="1"/>
  <c r="W38" i="9" s="1"/>
  <c r="AT19" i="10"/>
  <c r="BD19" i="10"/>
  <c r="BF19" i="10" s="1"/>
  <c r="AI38" i="9" s="1"/>
  <c r="F20" i="10"/>
  <c r="H20" i="10" s="1"/>
  <c r="E39" i="9" s="1"/>
  <c r="F39" i="9" s="1"/>
  <c r="P20" i="10"/>
  <c r="R20" i="10" s="1"/>
  <c r="K39" i="9" s="1"/>
  <c r="Z20" i="10"/>
  <c r="AJ20" i="10"/>
  <c r="AL20" i="10" s="1"/>
  <c r="W39" i="9" s="1"/>
  <c r="AT20" i="10"/>
  <c r="AV20" i="10" s="1"/>
  <c r="AC39" i="9" s="1"/>
  <c r="BD20" i="10"/>
  <c r="BF20" i="10" s="1"/>
  <c r="AI39" i="9" s="1"/>
  <c r="F21" i="10"/>
  <c r="P21" i="10"/>
  <c r="R21" i="10" s="1"/>
  <c r="K40" i="9" s="1"/>
  <c r="Z21" i="10"/>
  <c r="AB21" i="10" s="1"/>
  <c r="Q40" i="9" s="1"/>
  <c r="AJ21" i="10"/>
  <c r="AL21" i="10" s="1"/>
  <c r="W40" i="9" s="1"/>
  <c r="AT21" i="10"/>
  <c r="BD21" i="10"/>
  <c r="BF21" i="10" s="1"/>
  <c r="AI40" i="9" s="1"/>
  <c r="G25" i="12"/>
  <c r="K25" i="12"/>
  <c r="G5" i="12" s="1"/>
  <c r="AC25" i="12"/>
  <c r="P5" i="12" s="1"/>
  <c r="AK25" i="12"/>
  <c r="M26" i="12"/>
  <c r="G27" i="12"/>
  <c r="AK27" i="12"/>
  <c r="M28" i="12"/>
  <c r="M39" i="12" s="1"/>
  <c r="G29" i="12"/>
  <c r="AK29" i="12"/>
  <c r="M30" i="12"/>
  <c r="AK31" i="12"/>
  <c r="M32" i="12"/>
  <c r="G33" i="12"/>
  <c r="AK33" i="12"/>
  <c r="M34" i="12"/>
  <c r="G35" i="12"/>
  <c r="AK35" i="12"/>
  <c r="M36" i="12"/>
  <c r="G37" i="12"/>
  <c r="AK37" i="12"/>
  <c r="M38" i="12"/>
  <c r="J39" i="12"/>
  <c r="K39" i="12" s="1"/>
  <c r="AH39" i="12"/>
  <c r="AI39" i="12" s="1"/>
  <c r="E99" i="13"/>
  <c r="J19" i="12"/>
  <c r="E25" i="12"/>
  <c r="D5" i="12" s="1"/>
  <c r="E80" i="13"/>
  <c r="G101" i="13"/>
  <c r="E194" i="13"/>
  <c r="W25" i="12"/>
  <c r="M5" i="12" s="1"/>
  <c r="G142" i="13"/>
  <c r="G146" i="13"/>
  <c r="G150" i="13"/>
  <c r="G154" i="13"/>
  <c r="G178" i="13"/>
  <c r="G183" i="13"/>
  <c r="G187" i="13"/>
  <c r="G191" i="13"/>
  <c r="E213" i="13"/>
  <c r="G259" i="13"/>
  <c r="E175" i="13"/>
  <c r="G197" i="13"/>
  <c r="G221" i="13"/>
  <c r="G225" i="13"/>
  <c r="G202" i="13"/>
  <c r="G206" i="13"/>
  <c r="G210" i="13"/>
  <c r="G257" i="13"/>
  <c r="E232" i="13"/>
  <c r="Y12" i="14"/>
  <c r="S25" i="14"/>
  <c r="M25" i="19" s="1"/>
  <c r="S33" i="14"/>
  <c r="M33" i="19" s="1"/>
  <c r="F41" i="21"/>
  <c r="O100" i="14"/>
  <c r="O81" i="14"/>
  <c r="F46" i="21"/>
  <c r="O86" i="14"/>
  <c r="F82" i="21" s="1"/>
  <c r="O105" i="14"/>
  <c r="F100" i="21" s="1"/>
  <c r="F50" i="21"/>
  <c r="O90" i="14"/>
  <c r="F86" i="21" s="1"/>
  <c r="O109" i="14"/>
  <c r="F104" i="21" s="1"/>
  <c r="F43" i="21"/>
  <c r="O102" i="14"/>
  <c r="F97" i="21" s="1"/>
  <c r="O83" i="14"/>
  <c r="F79" i="21" s="1"/>
  <c r="F49" i="21"/>
  <c r="O108" i="14"/>
  <c r="F103" i="21" s="1"/>
  <c r="O89" i="14"/>
  <c r="F85" i="21" s="1"/>
  <c r="Y51" i="14"/>
  <c r="F52" i="21"/>
  <c r="O111" i="14"/>
  <c r="F106" i="21" s="1"/>
  <c r="O92" i="14"/>
  <c r="F88" i="21" s="1"/>
  <c r="E251" i="13"/>
  <c r="Y14" i="14"/>
  <c r="S31" i="14"/>
  <c r="M31" i="19" s="1"/>
  <c r="F48" i="21"/>
  <c r="O107" i="14"/>
  <c r="F102" i="21" s="1"/>
  <c r="O88" i="14"/>
  <c r="F84" i="21" s="1"/>
  <c r="E270" i="13"/>
  <c r="F47" i="21"/>
  <c r="O106" i="14"/>
  <c r="F101" i="21" s="1"/>
  <c r="O87" i="14"/>
  <c r="F83" i="21" s="1"/>
  <c r="Y49" i="14"/>
  <c r="F51" i="21"/>
  <c r="O110" i="14"/>
  <c r="F105" i="21" s="1"/>
  <c r="O91" i="14"/>
  <c r="F87" i="21" s="1"/>
  <c r="F53" i="21"/>
  <c r="O112" i="14"/>
  <c r="F107" i="21" s="1"/>
  <c r="O93" i="14"/>
  <c r="F89" i="21" s="1"/>
  <c r="R5" i="14"/>
  <c r="V5" i="14"/>
  <c r="V19" i="14" s="1"/>
  <c r="R7" i="14"/>
  <c r="R9" i="14"/>
  <c r="R11" i="14"/>
  <c r="R13" i="14"/>
  <c r="R15" i="14"/>
  <c r="R17" i="14"/>
  <c r="O19" i="14"/>
  <c r="H38" i="14"/>
  <c r="M24" i="14"/>
  <c r="Q24" i="14"/>
  <c r="W24" i="14"/>
  <c r="W25" i="14"/>
  <c r="F24" i="21" s="1"/>
  <c r="Q32" i="14"/>
  <c r="W33" i="14"/>
  <c r="F32" i="21" s="1"/>
  <c r="X37" i="14"/>
  <c r="H57" i="14"/>
  <c r="M43" i="14"/>
  <c r="Q43" i="14"/>
  <c r="W44" i="14"/>
  <c r="W57" i="14" s="1"/>
  <c r="P105" i="14"/>
  <c r="P86" i="14"/>
  <c r="N105" i="14"/>
  <c r="P87" i="14"/>
  <c r="P106" i="14"/>
  <c r="P107" i="14"/>
  <c r="P88" i="14"/>
  <c r="N107" i="14"/>
  <c r="P108" i="14"/>
  <c r="P89" i="14"/>
  <c r="P109" i="14"/>
  <c r="P90" i="14"/>
  <c r="N109" i="14"/>
  <c r="P91" i="14"/>
  <c r="P110" i="14"/>
  <c r="Q54" i="14"/>
  <c r="W56" i="14"/>
  <c r="Q56" i="14"/>
  <c r="O75" i="14" s="1"/>
  <c r="S56" i="14"/>
  <c r="M56" i="19" s="1"/>
  <c r="K95" i="14"/>
  <c r="K100" i="14"/>
  <c r="K114" i="14" s="1"/>
  <c r="L87" i="14"/>
  <c r="M87" i="19" s="1"/>
  <c r="L100" i="14"/>
  <c r="M100" i="19" s="1"/>
  <c r="L101" i="14"/>
  <c r="M101" i="19" s="1"/>
  <c r="L102" i="14"/>
  <c r="M102" i="19" s="1"/>
  <c r="L103" i="14"/>
  <c r="M103" i="19" s="1"/>
  <c r="L104" i="14"/>
  <c r="M104" i="19" s="1"/>
  <c r="L105" i="14"/>
  <c r="M105" i="19" s="1"/>
  <c r="L106" i="14"/>
  <c r="M106" i="19" s="1"/>
  <c r="L107" i="14"/>
  <c r="M107" i="19" s="1"/>
  <c r="L108" i="14"/>
  <c r="M108" i="19" s="1"/>
  <c r="L109" i="14"/>
  <c r="M109" i="19" s="1"/>
  <c r="L110" i="14"/>
  <c r="M110" i="19" s="1"/>
  <c r="L111" i="14"/>
  <c r="M111" i="19" s="1"/>
  <c r="L112" i="14"/>
  <c r="M112" i="19" s="1"/>
  <c r="L113" i="14"/>
  <c r="M113" i="19" s="1"/>
  <c r="D6" i="15"/>
  <c r="E5" i="15"/>
  <c r="L41" i="15"/>
  <c r="M92" i="14" s="1"/>
  <c r="K41" i="15"/>
  <c r="M73" i="14" s="1"/>
  <c r="J41" i="15"/>
  <c r="T54" i="14" s="1"/>
  <c r="M41" i="15"/>
  <c r="M111" i="14" s="1"/>
  <c r="I41" i="15"/>
  <c r="T35" i="14" s="1"/>
  <c r="Y35" i="14" s="1"/>
  <c r="M25" i="15"/>
  <c r="M26" i="15" s="1"/>
  <c r="M27" i="15" s="1"/>
  <c r="M28" i="15" s="1"/>
  <c r="M29" i="15" s="1"/>
  <c r="M30" i="15" s="1"/>
  <c r="M31" i="15" s="1"/>
  <c r="L26" i="15"/>
  <c r="L27" i="15" s="1"/>
  <c r="L28" i="15" s="1"/>
  <c r="L29" i="15" s="1"/>
  <c r="L30" i="15" s="1"/>
  <c r="L31" i="15" s="1"/>
  <c r="AO28" i="16"/>
  <c r="G28" i="22" s="1"/>
  <c r="AQ34" i="16"/>
  <c r="AB35" i="19" s="1"/>
  <c r="S5" i="14"/>
  <c r="W5" i="14"/>
  <c r="Y5" i="14" s="1"/>
  <c r="M6" i="14"/>
  <c r="Q6" i="14"/>
  <c r="Q19" i="14" s="1"/>
  <c r="U6" i="14"/>
  <c r="U19" i="14" s="1"/>
  <c r="S7" i="14"/>
  <c r="M7" i="19" s="1"/>
  <c r="W7" i="14"/>
  <c r="F7" i="21" s="1"/>
  <c r="M8" i="14"/>
  <c r="Q8" i="14"/>
  <c r="S8" i="14" s="1"/>
  <c r="M8" i="19" s="1"/>
  <c r="U8" i="14"/>
  <c r="S9" i="14"/>
  <c r="M9" i="19" s="1"/>
  <c r="W9" i="14"/>
  <c r="F9" i="21" s="1"/>
  <c r="M10" i="14"/>
  <c r="Q10" i="14"/>
  <c r="S10" i="14" s="1"/>
  <c r="M10" i="19" s="1"/>
  <c r="U10" i="14"/>
  <c r="S11" i="14"/>
  <c r="M11" i="19" s="1"/>
  <c r="W11" i="14"/>
  <c r="F11" i="21" s="1"/>
  <c r="Q12" i="14"/>
  <c r="S12" i="14" s="1"/>
  <c r="M12" i="19" s="1"/>
  <c r="S13" i="14"/>
  <c r="M13" i="19" s="1"/>
  <c r="W13" i="14"/>
  <c r="F13" i="21" s="1"/>
  <c r="S15" i="14"/>
  <c r="M15" i="19" s="1"/>
  <c r="W15" i="14"/>
  <c r="F15" i="21" s="1"/>
  <c r="S17" i="14"/>
  <c r="M17" i="19" s="1"/>
  <c r="W17" i="14"/>
  <c r="F17" i="21" s="1"/>
  <c r="M18" i="14"/>
  <c r="Q18" i="14"/>
  <c r="S18" i="14" s="1"/>
  <c r="M18" i="19" s="1"/>
  <c r="K19" i="14"/>
  <c r="N102" i="14"/>
  <c r="P103" i="14"/>
  <c r="P84" i="14"/>
  <c r="N103" i="14"/>
  <c r="P104" i="14"/>
  <c r="P85" i="14"/>
  <c r="Q48" i="14"/>
  <c r="O67" i="14" s="1"/>
  <c r="F64" i="21" s="1"/>
  <c r="Q49" i="14"/>
  <c r="O68" i="14" s="1"/>
  <c r="F65" i="21" s="1"/>
  <c r="Q50" i="14"/>
  <c r="O69" i="14" s="1"/>
  <c r="F66" i="21" s="1"/>
  <c r="Q51" i="14"/>
  <c r="O70" i="14" s="1"/>
  <c r="F67" i="21" s="1"/>
  <c r="Q52" i="14"/>
  <c r="O71" i="14" s="1"/>
  <c r="F68" i="21" s="1"/>
  <c r="Q53" i="14"/>
  <c r="O72" i="14" s="1"/>
  <c r="F69" i="21" s="1"/>
  <c r="N112" i="14"/>
  <c r="L95" i="14"/>
  <c r="J42" i="15"/>
  <c r="T55" i="14" s="1"/>
  <c r="Y55" i="14" s="1"/>
  <c r="M42" i="15"/>
  <c r="M112" i="14" s="1"/>
  <c r="I42" i="15"/>
  <c r="T36" i="14" s="1"/>
  <c r="Y36" i="14" s="1"/>
  <c r="L42" i="15"/>
  <c r="M93" i="14" s="1"/>
  <c r="Q93" i="14" s="1"/>
  <c r="K42" i="15"/>
  <c r="M74" i="14" s="1"/>
  <c r="AA5" i="19"/>
  <c r="AA19" i="19" s="1"/>
  <c r="C16" i="23" s="1"/>
  <c r="AP18" i="16"/>
  <c r="AC67" i="19"/>
  <c r="AT64" i="16"/>
  <c r="AY64" i="16"/>
  <c r="AU64" i="16"/>
  <c r="D82" i="18" s="1"/>
  <c r="H82" i="18" s="1"/>
  <c r="X5" i="14"/>
  <c r="X19" i="14" s="1"/>
  <c r="G19" i="14"/>
  <c r="K57" i="14"/>
  <c r="O57" i="14"/>
  <c r="N62" i="14"/>
  <c r="U57" i="14"/>
  <c r="P101" i="14"/>
  <c r="P82" i="14"/>
  <c r="N101" i="14"/>
  <c r="P83" i="14"/>
  <c r="P102" i="14"/>
  <c r="F45" i="21"/>
  <c r="O104" i="14"/>
  <c r="F99" i="21" s="1"/>
  <c r="O85" i="14"/>
  <c r="F81" i="21" s="1"/>
  <c r="N111" i="14"/>
  <c r="P112" i="14"/>
  <c r="P93" i="14"/>
  <c r="N113" i="14"/>
  <c r="L83" i="14"/>
  <c r="M83" i="19" s="1"/>
  <c r="L91" i="14"/>
  <c r="M91" i="19" s="1"/>
  <c r="Q90" i="14"/>
  <c r="AA24" i="19"/>
  <c r="AA38" i="19" s="1"/>
  <c r="AP36" i="16"/>
  <c r="AA43" i="19"/>
  <c r="AA57" i="19" s="1"/>
  <c r="AP54" i="16"/>
  <c r="D25" i="15"/>
  <c r="H19" i="14"/>
  <c r="M5" i="14"/>
  <c r="M7" i="14"/>
  <c r="M9" i="14"/>
  <c r="X38" i="14"/>
  <c r="Q26" i="14"/>
  <c r="S26" i="14" s="1"/>
  <c r="M26" i="19" s="1"/>
  <c r="Q34" i="14"/>
  <c r="S34" i="14" s="1"/>
  <c r="M34" i="19" s="1"/>
  <c r="P37" i="14"/>
  <c r="P38" i="14" s="1"/>
  <c r="V37" i="14"/>
  <c r="V38" i="14" s="1"/>
  <c r="P100" i="14"/>
  <c r="P81" i="14"/>
  <c r="Q45" i="14"/>
  <c r="O64" i="14" s="1"/>
  <c r="F61" i="21" s="1"/>
  <c r="F44" i="21"/>
  <c r="O103" i="14"/>
  <c r="F98" i="21" s="1"/>
  <c r="O84" i="14"/>
  <c r="F80" i="21" s="1"/>
  <c r="N110" i="14"/>
  <c r="Q55" i="14"/>
  <c r="O74" i="14" s="1"/>
  <c r="F71" i="21" s="1"/>
  <c r="L93" i="14"/>
  <c r="M93" i="19" s="1"/>
  <c r="J40" i="15"/>
  <c r="T53" i="14" s="1"/>
  <c r="Y53" i="14" s="1"/>
  <c r="M40" i="15"/>
  <c r="M110" i="14" s="1"/>
  <c r="Q110" i="14" s="1"/>
  <c r="I40" i="15"/>
  <c r="T34" i="14" s="1"/>
  <c r="Y34" i="14" s="1"/>
  <c r="L40" i="15"/>
  <c r="M91" i="14" s="1"/>
  <c r="Q91" i="14" s="1"/>
  <c r="K40" i="15"/>
  <c r="M72" i="14" s="1"/>
  <c r="Q88" i="14"/>
  <c r="AU8" i="16"/>
  <c r="D26" i="18" s="1"/>
  <c r="H26" i="18" s="1"/>
  <c r="R24" i="14"/>
  <c r="R26" i="14"/>
  <c r="R28" i="14"/>
  <c r="S28" i="14" s="1"/>
  <c r="M28" i="19" s="1"/>
  <c r="R30" i="14"/>
  <c r="S30" i="14" s="1"/>
  <c r="M30" i="19" s="1"/>
  <c r="R32" i="14"/>
  <c r="R34" i="14"/>
  <c r="R36" i="14"/>
  <c r="S36" i="14" s="1"/>
  <c r="M36" i="19" s="1"/>
  <c r="O37" i="14"/>
  <c r="S37" i="14" s="1"/>
  <c r="M37" i="19" s="1"/>
  <c r="L38" i="14"/>
  <c r="R43" i="14"/>
  <c r="R45" i="14"/>
  <c r="P64" i="14" s="1"/>
  <c r="R47" i="14"/>
  <c r="R49" i="14"/>
  <c r="P68" i="14" s="1"/>
  <c r="R51" i="14"/>
  <c r="P70" i="14" s="1"/>
  <c r="R53" i="14"/>
  <c r="P72" i="14" s="1"/>
  <c r="X54" i="14"/>
  <c r="R55" i="14"/>
  <c r="P74" i="14" s="1"/>
  <c r="X56" i="14"/>
  <c r="J76" i="14"/>
  <c r="L76" i="14" s="1"/>
  <c r="L95" i="19"/>
  <c r="H114" i="14"/>
  <c r="L114" i="14" s="1"/>
  <c r="E18" i="15"/>
  <c r="T15" i="14" s="1"/>
  <c r="Y15" i="14" s="1"/>
  <c r="E20" i="15"/>
  <c r="T17" i="14" s="1"/>
  <c r="Y17" i="14" s="1"/>
  <c r="K36" i="15"/>
  <c r="M68" i="14" s="1"/>
  <c r="Q68" i="14" s="1"/>
  <c r="I37" i="15"/>
  <c r="T31" i="14" s="1"/>
  <c r="Y31" i="14" s="1"/>
  <c r="M37" i="15"/>
  <c r="M107" i="14" s="1"/>
  <c r="Q107" i="14" s="1"/>
  <c r="K38" i="15"/>
  <c r="M70" i="14" s="1"/>
  <c r="I39" i="15"/>
  <c r="T33" i="14" s="1"/>
  <c r="Y33" i="14" s="1"/>
  <c r="M39" i="15"/>
  <c r="M109" i="14" s="1"/>
  <c r="Q109" i="14" s="1"/>
  <c r="Q5" i="16"/>
  <c r="K8" i="16"/>
  <c r="Q9" i="16"/>
  <c r="Q11" i="16"/>
  <c r="K14" i="16"/>
  <c r="Q15" i="16"/>
  <c r="Q23" i="16"/>
  <c r="D26" i="21"/>
  <c r="E80" i="16"/>
  <c r="K26" i="16"/>
  <c r="Q27" i="16"/>
  <c r="Q29" i="16"/>
  <c r="D32" i="21"/>
  <c r="E86" i="16"/>
  <c r="K32" i="16"/>
  <c r="Q33" i="16"/>
  <c r="Q41" i="16"/>
  <c r="Q42" i="16"/>
  <c r="Q43" i="16"/>
  <c r="Q44" i="16"/>
  <c r="Q45" i="16"/>
  <c r="Q46" i="16"/>
  <c r="Q47" i="16"/>
  <c r="Q48" i="16"/>
  <c r="C50" i="22"/>
  <c r="F50" i="22" s="1"/>
  <c r="Q50" i="16"/>
  <c r="C52" i="22"/>
  <c r="F52" i="22" s="1"/>
  <c r="Q52" i="16"/>
  <c r="L54" i="16"/>
  <c r="R54" i="16"/>
  <c r="Q61" i="16"/>
  <c r="C64" i="21"/>
  <c r="AK64" i="16"/>
  <c r="AN64" i="16" s="1"/>
  <c r="R72" i="16"/>
  <c r="U72" i="16"/>
  <c r="L72" i="16"/>
  <c r="AN95" i="16"/>
  <c r="AO97" i="16"/>
  <c r="H27" i="25" s="1"/>
  <c r="AO84" i="16"/>
  <c r="H13" i="25" s="1"/>
  <c r="AN103" i="16"/>
  <c r="AO105" i="16"/>
  <c r="H35" i="25" s="1"/>
  <c r="AA100" i="19"/>
  <c r="AA114" i="19" s="1"/>
  <c r="AP108" i="16"/>
  <c r="AL102" i="16"/>
  <c r="AQ103" i="16"/>
  <c r="AB108" i="19" s="1"/>
  <c r="AL106" i="16"/>
  <c r="N18" i="17"/>
  <c r="W6" i="17"/>
  <c r="AH6" i="16" s="1"/>
  <c r="Z6" i="17"/>
  <c r="AI6" i="16" s="1"/>
  <c r="Q6" i="17"/>
  <c r="W11" i="17"/>
  <c r="AH11" i="16" s="1"/>
  <c r="Z11" i="17"/>
  <c r="AI11" i="16" s="1"/>
  <c r="Q11" i="17"/>
  <c r="Z14" i="17"/>
  <c r="AI14" i="16" s="1"/>
  <c r="N36" i="17"/>
  <c r="AJ65" i="17"/>
  <c r="AB47" i="16" s="1"/>
  <c r="AM65" i="17"/>
  <c r="AI47" i="16" s="1"/>
  <c r="AF47" i="17"/>
  <c r="Q47" i="17"/>
  <c r="L76" i="19"/>
  <c r="AA9" i="23" s="1"/>
  <c r="L81" i="14"/>
  <c r="M81" i="19" s="1"/>
  <c r="M95" i="19" s="1"/>
  <c r="K26" i="15"/>
  <c r="K27" i="15" s="1"/>
  <c r="K28" i="15" s="1"/>
  <c r="K29" i="15" s="1"/>
  <c r="K30" i="15" s="1"/>
  <c r="K31" i="15" s="1"/>
  <c r="L36" i="15"/>
  <c r="M87" i="14" s="1"/>
  <c r="Q87" i="14" s="1"/>
  <c r="J37" i="15"/>
  <c r="T50" i="14" s="1"/>
  <c r="Y50" i="14" s="1"/>
  <c r="L38" i="15"/>
  <c r="M89" i="14" s="1"/>
  <c r="Q89" i="14" s="1"/>
  <c r="J39" i="15"/>
  <c r="T52" i="14" s="1"/>
  <c r="Y52" i="14" s="1"/>
  <c r="F7" i="22"/>
  <c r="AU7" i="16"/>
  <c r="D25" i="18" s="1"/>
  <c r="H25" i="18" s="1"/>
  <c r="AU13" i="16"/>
  <c r="D31" i="18" s="1"/>
  <c r="H31" i="18" s="1"/>
  <c r="AU17" i="16"/>
  <c r="D35" i="18" s="1"/>
  <c r="H35" i="18" s="1"/>
  <c r="J18" i="16"/>
  <c r="V18" i="16" s="1"/>
  <c r="D25" i="21"/>
  <c r="E79" i="16"/>
  <c r="F25" i="22"/>
  <c r="AU25" i="16"/>
  <c r="D43" i="18" s="1"/>
  <c r="H43" i="18" s="1"/>
  <c r="D31" i="21"/>
  <c r="E85" i="16"/>
  <c r="F31" i="22"/>
  <c r="D35" i="21"/>
  <c r="E89" i="16"/>
  <c r="F35" i="22"/>
  <c r="J36" i="16"/>
  <c r="V36" i="16" s="1"/>
  <c r="F49" i="22"/>
  <c r="BF72" i="16"/>
  <c r="BG72" i="16" s="1"/>
  <c r="Q62" i="16"/>
  <c r="Q66" i="16"/>
  <c r="Q68" i="16"/>
  <c r="Q70" i="16"/>
  <c r="AO95" i="16"/>
  <c r="H25" i="25" s="1"/>
  <c r="AQ78" i="16"/>
  <c r="AB82" i="19" s="1"/>
  <c r="AK98" i="16"/>
  <c r="AN98" i="16" s="1"/>
  <c r="AQ98" i="16" s="1"/>
  <c r="AB103" i="19" s="1"/>
  <c r="AO82" i="16"/>
  <c r="H11" i="25" s="1"/>
  <c r="AK101" i="16"/>
  <c r="AN101" i="16" s="1"/>
  <c r="AO103" i="16"/>
  <c r="H33" i="25" s="1"/>
  <c r="AQ86" i="16"/>
  <c r="AB90" i="19" s="1"/>
  <c r="AK106" i="16"/>
  <c r="AN106" i="16" s="1"/>
  <c r="AQ95" i="16"/>
  <c r="AL98" i="16"/>
  <c r="W9" i="17"/>
  <c r="AH9" i="16" s="1"/>
  <c r="Z9" i="17"/>
  <c r="AI9" i="16" s="1"/>
  <c r="Q9" i="17"/>
  <c r="W14" i="17"/>
  <c r="AH14" i="16" s="1"/>
  <c r="Q14" i="17"/>
  <c r="K47" i="17"/>
  <c r="AI65" i="17" s="1"/>
  <c r="AE47" i="16" s="1"/>
  <c r="AF47" i="16" s="1"/>
  <c r="Y48" i="17"/>
  <c r="Z48" i="17" s="1"/>
  <c r="E19" i="15"/>
  <c r="T16" i="14" s="1"/>
  <c r="Y16" i="14" s="1"/>
  <c r="I36" i="15"/>
  <c r="T30" i="14" s="1"/>
  <c r="Y30" i="14" s="1"/>
  <c r="K37" i="15"/>
  <c r="M69" i="14" s="1"/>
  <c r="Q69" i="14" s="1"/>
  <c r="I38" i="15"/>
  <c r="T32" i="14" s="1"/>
  <c r="Y32" i="14" s="1"/>
  <c r="K39" i="15"/>
  <c r="M71" i="14" s="1"/>
  <c r="Q71" i="14" s="1"/>
  <c r="K6" i="16"/>
  <c r="Q7" i="16"/>
  <c r="C10" i="21"/>
  <c r="K10" i="16"/>
  <c r="K12" i="16"/>
  <c r="Q13" i="16"/>
  <c r="K16" i="16"/>
  <c r="Q17" i="16"/>
  <c r="K18" i="16"/>
  <c r="N18" i="16" s="1"/>
  <c r="D24" i="21"/>
  <c r="E78" i="16"/>
  <c r="K24" i="16"/>
  <c r="AU24" i="16" s="1"/>
  <c r="D42" i="18" s="1"/>
  <c r="H42" i="18" s="1"/>
  <c r="Q25" i="16"/>
  <c r="D28" i="21"/>
  <c r="C28" i="21" s="1"/>
  <c r="E82" i="16"/>
  <c r="K28" i="16"/>
  <c r="AT28" i="16" s="1"/>
  <c r="D30" i="21"/>
  <c r="E84" i="16"/>
  <c r="K30" i="16"/>
  <c r="Q31" i="16"/>
  <c r="D34" i="21"/>
  <c r="E88" i="16"/>
  <c r="K34" i="16"/>
  <c r="AU34" i="16" s="1"/>
  <c r="D52" i="18" s="1"/>
  <c r="H52" i="18" s="1"/>
  <c r="Q35" i="16"/>
  <c r="J54" i="16"/>
  <c r="M54" i="16" s="1"/>
  <c r="Q49" i="16"/>
  <c r="C51" i="22"/>
  <c r="F51" i="22" s="1"/>
  <c r="Q51" i="16"/>
  <c r="C53" i="22"/>
  <c r="F53" i="22" s="1"/>
  <c r="Q53" i="16"/>
  <c r="U54" i="16"/>
  <c r="AB100" i="16"/>
  <c r="AK100" i="16" s="1"/>
  <c r="AN100" i="16" s="1"/>
  <c r="AQ100" i="16" s="1"/>
  <c r="AB105" i="19" s="1"/>
  <c r="AK82" i="16"/>
  <c r="AN82" i="16" s="1"/>
  <c r="Q67" i="16"/>
  <c r="AK68" i="16"/>
  <c r="AN68" i="16" s="1"/>
  <c r="Q71" i="16"/>
  <c r="AK96" i="16"/>
  <c r="AN96" i="16" s="1"/>
  <c r="AO80" i="16"/>
  <c r="H9" i="25" s="1"/>
  <c r="AK99" i="16"/>
  <c r="AN99" i="16" s="1"/>
  <c r="AQ99" i="16" s="1"/>
  <c r="AB104" i="19" s="1"/>
  <c r="AO101" i="16"/>
  <c r="H31" i="25" s="1"/>
  <c r="AQ84" i="16"/>
  <c r="AB88" i="19" s="1"/>
  <c r="AK104" i="16"/>
  <c r="AN104" i="16" s="1"/>
  <c r="AQ104" i="16" s="1"/>
  <c r="AB109" i="19" s="1"/>
  <c r="AO88" i="16"/>
  <c r="H17" i="25" s="1"/>
  <c r="AK107" i="16"/>
  <c r="AN107" i="16" s="1"/>
  <c r="AQ107" i="16" s="1"/>
  <c r="AB112" i="19" s="1"/>
  <c r="AQ96" i="16"/>
  <c r="AB101" i="19" s="1"/>
  <c r="AQ101" i="16"/>
  <c r="AB106" i="19" s="1"/>
  <c r="AL104" i="16"/>
  <c r="E18" i="17"/>
  <c r="W8" i="17"/>
  <c r="AH8" i="16" s="1"/>
  <c r="Z8" i="17"/>
  <c r="AI8" i="16" s="1"/>
  <c r="Q8" i="17"/>
  <c r="Z12" i="17"/>
  <c r="AI12" i="16" s="1"/>
  <c r="W13" i="17"/>
  <c r="AH13" i="16" s="1"/>
  <c r="Q13" i="17"/>
  <c r="Q25" i="17"/>
  <c r="AF25" i="17"/>
  <c r="AI25" i="16" s="1"/>
  <c r="Q27" i="17"/>
  <c r="AF27" i="17"/>
  <c r="AI27" i="16" s="1"/>
  <c r="K32" i="17"/>
  <c r="AE32" i="16" s="1"/>
  <c r="AF32" i="16" s="1"/>
  <c r="K42" i="17"/>
  <c r="AI60" i="17" s="1"/>
  <c r="AE42" i="16" s="1"/>
  <c r="AF42" i="16" s="1"/>
  <c r="W43" i="17"/>
  <c r="AK64" i="17"/>
  <c r="AM64" i="17"/>
  <c r="K48" i="17"/>
  <c r="AJ69" i="17"/>
  <c r="AB51" i="16" s="1"/>
  <c r="AC51" i="17"/>
  <c r="AL69" i="17" s="1"/>
  <c r="AH51" i="16" s="1"/>
  <c r="W51" i="17"/>
  <c r="F5" i="22"/>
  <c r="AU9" i="16"/>
  <c r="D27" i="18" s="1"/>
  <c r="H27" i="18" s="1"/>
  <c r="F11" i="22"/>
  <c r="AU11" i="16"/>
  <c r="D29" i="18" s="1"/>
  <c r="H29" i="18" s="1"/>
  <c r="F15" i="22"/>
  <c r="AU15" i="16"/>
  <c r="D33" i="18" s="1"/>
  <c r="H33" i="18" s="1"/>
  <c r="T18" i="16"/>
  <c r="D23" i="21"/>
  <c r="E77" i="16"/>
  <c r="F23" i="22"/>
  <c r="AU23" i="16"/>
  <c r="D27" i="21"/>
  <c r="E81" i="16"/>
  <c r="AU27" i="16"/>
  <c r="D45" i="18" s="1"/>
  <c r="H45" i="18" s="1"/>
  <c r="D29" i="21"/>
  <c r="E83" i="16"/>
  <c r="D33" i="21"/>
  <c r="E87" i="16"/>
  <c r="C41" i="22"/>
  <c r="T54" i="16"/>
  <c r="N54" i="16"/>
  <c r="W72" i="16"/>
  <c r="N72" i="16"/>
  <c r="Q59" i="16"/>
  <c r="T72" i="16"/>
  <c r="P72" i="16"/>
  <c r="J59" i="16"/>
  <c r="AA62" i="19"/>
  <c r="AA76" i="19" s="1"/>
  <c r="AP72" i="16"/>
  <c r="AO78" i="16"/>
  <c r="H7" i="25" s="1"/>
  <c r="AN97" i="16"/>
  <c r="AO99" i="16"/>
  <c r="H29" i="25" s="1"/>
  <c r="AQ82" i="16"/>
  <c r="AB86" i="19" s="1"/>
  <c r="AN102" i="16"/>
  <c r="AO86" i="16"/>
  <c r="H15" i="25" s="1"/>
  <c r="AN105" i="16"/>
  <c r="AQ105" i="16" s="1"/>
  <c r="AB110" i="19" s="1"/>
  <c r="AO107" i="16"/>
  <c r="H37" i="25" s="1"/>
  <c r="AL96" i="16"/>
  <c r="AQ97" i="16"/>
  <c r="AB102" i="19" s="1"/>
  <c r="AO100" i="16"/>
  <c r="H30" i="25" s="1"/>
  <c r="AQ102" i="16"/>
  <c r="AB107" i="19" s="1"/>
  <c r="AQ106" i="16"/>
  <c r="AB111" i="19" s="1"/>
  <c r="W7" i="17"/>
  <c r="AH7" i="16" s="1"/>
  <c r="Z7" i="17"/>
  <c r="AI7" i="16" s="1"/>
  <c r="Q7" i="17"/>
  <c r="W12" i="17"/>
  <c r="AH12" i="16" s="1"/>
  <c r="Q12" i="17"/>
  <c r="AI61" i="17"/>
  <c r="AE43" i="16" s="1"/>
  <c r="AF43" i="16" s="1"/>
  <c r="H43" i="17"/>
  <c r="AH61" i="17" s="1"/>
  <c r="Y43" i="16" s="1"/>
  <c r="W47" i="17"/>
  <c r="AI66" i="17"/>
  <c r="AE48" i="16" s="1"/>
  <c r="AF48" i="16" s="1"/>
  <c r="H48" i="17"/>
  <c r="AH66" i="17" s="1"/>
  <c r="Y48" i="16" s="1"/>
  <c r="J77" i="16"/>
  <c r="AK77" i="16"/>
  <c r="AN77" i="16" s="1"/>
  <c r="AP77" i="16"/>
  <c r="J81" i="16"/>
  <c r="AK81" i="16"/>
  <c r="AN81" i="16" s="1"/>
  <c r="AQ81" i="16" s="1"/>
  <c r="AB85" i="19" s="1"/>
  <c r="J83" i="16"/>
  <c r="AK83" i="16"/>
  <c r="AN83" i="16" s="1"/>
  <c r="AQ83" i="16" s="1"/>
  <c r="AB87" i="19" s="1"/>
  <c r="J87" i="16"/>
  <c r="AK87" i="16"/>
  <c r="AN87" i="16" s="1"/>
  <c r="AQ87" i="16" s="1"/>
  <c r="AB91" i="19" s="1"/>
  <c r="J97" i="16"/>
  <c r="J103" i="16"/>
  <c r="J107" i="16"/>
  <c r="O108" i="16"/>
  <c r="H6" i="17"/>
  <c r="Y6" i="16" s="1"/>
  <c r="H7" i="17"/>
  <c r="Y7" i="16" s="1"/>
  <c r="Z7" i="16" s="1"/>
  <c r="H8" i="17"/>
  <c r="Y8" i="16" s="1"/>
  <c r="H9" i="17"/>
  <c r="Y9" i="16" s="1"/>
  <c r="Z9" i="16" s="1"/>
  <c r="H11" i="17"/>
  <c r="Y11" i="16" s="1"/>
  <c r="Z11" i="16" s="1"/>
  <c r="H12" i="17"/>
  <c r="Y12" i="16" s="1"/>
  <c r="H13" i="17"/>
  <c r="Y13" i="16" s="1"/>
  <c r="Z13" i="16" s="1"/>
  <c r="H14" i="17"/>
  <c r="Y14" i="16" s="1"/>
  <c r="H15" i="17"/>
  <c r="Y15" i="16" s="1"/>
  <c r="Z15" i="16" s="1"/>
  <c r="H16" i="17"/>
  <c r="Y16" i="16" s="1"/>
  <c r="H17" i="17"/>
  <c r="Y17" i="16" s="1"/>
  <c r="Z17" i="16" s="1"/>
  <c r="N23" i="17"/>
  <c r="H24" i="17"/>
  <c r="Y24" i="16" s="1"/>
  <c r="U24" i="17"/>
  <c r="H26" i="17"/>
  <c r="Y26" i="16" s="1"/>
  <c r="U26" i="17"/>
  <c r="X28" i="17"/>
  <c r="AB28" i="16" s="1"/>
  <c r="AK28" i="16" s="1"/>
  <c r="AN28" i="16" s="1"/>
  <c r="AQ28" i="16" s="1"/>
  <c r="AB29" i="19" s="1"/>
  <c r="E29" i="17"/>
  <c r="H29" i="17" s="1"/>
  <c r="Y29" i="16" s="1"/>
  <c r="Z29" i="16" s="1"/>
  <c r="K30" i="17"/>
  <c r="AE30" i="16" s="1"/>
  <c r="AF30" i="16" s="1"/>
  <c r="AF30" i="17"/>
  <c r="AI30" i="16" s="1"/>
  <c r="E31" i="17"/>
  <c r="H31" i="17" s="1"/>
  <c r="Y31" i="16" s="1"/>
  <c r="Z31" i="16" s="1"/>
  <c r="AF32" i="17"/>
  <c r="AI32" i="16" s="1"/>
  <c r="E33" i="17"/>
  <c r="H33" i="17" s="1"/>
  <c r="Y33" i="16" s="1"/>
  <c r="Z33" i="16" s="1"/>
  <c r="Q33" i="17"/>
  <c r="AF34" i="17"/>
  <c r="AI34" i="16" s="1"/>
  <c r="E35" i="17"/>
  <c r="H35" i="17" s="1"/>
  <c r="Y35" i="16" s="1"/>
  <c r="Z35" i="16" s="1"/>
  <c r="C36" i="17"/>
  <c r="E36" i="17" s="1"/>
  <c r="E41" i="17"/>
  <c r="H42" i="17"/>
  <c r="AH60" i="17" s="1"/>
  <c r="Y42" i="16" s="1"/>
  <c r="K43" i="17"/>
  <c r="AF43" i="17"/>
  <c r="N44" i="17"/>
  <c r="AC44" i="17" s="1"/>
  <c r="W44" i="17"/>
  <c r="E45" i="17"/>
  <c r="Q45" i="17"/>
  <c r="H47" i="17"/>
  <c r="AH65" i="17" s="1"/>
  <c r="Y47" i="16" s="1"/>
  <c r="AC47" i="17"/>
  <c r="AL65" i="17" s="1"/>
  <c r="AH47" i="16" s="1"/>
  <c r="AF48" i="17"/>
  <c r="N49" i="17"/>
  <c r="W49" i="17" s="1"/>
  <c r="H50" i="17"/>
  <c r="AC50" i="17"/>
  <c r="AH69" i="17"/>
  <c r="Y51" i="16" s="1"/>
  <c r="Z51" i="16" s="1"/>
  <c r="AI69" i="17"/>
  <c r="AE51" i="16" s="1"/>
  <c r="AF51" i="16" s="1"/>
  <c r="AI70" i="17"/>
  <c r="AE52" i="16" s="1"/>
  <c r="AF52" i="16" s="1"/>
  <c r="C54" i="17"/>
  <c r="E54" i="17" s="1"/>
  <c r="W63" i="17"/>
  <c r="W65" i="17"/>
  <c r="W67" i="17"/>
  <c r="W69" i="17"/>
  <c r="W71" i="17"/>
  <c r="O91" i="17"/>
  <c r="Z80" i="17"/>
  <c r="AB80" i="17" s="1"/>
  <c r="AC61" i="16" s="1"/>
  <c r="Z82" i="17"/>
  <c r="AB82" i="17" s="1"/>
  <c r="AC63" i="16" s="1"/>
  <c r="Z84" i="17"/>
  <c r="AB84" i="17" s="1"/>
  <c r="AC65" i="16" s="1"/>
  <c r="AF87" i="17"/>
  <c r="AI68" i="16" s="1"/>
  <c r="AO68" i="16" s="1"/>
  <c r="Z89" i="17"/>
  <c r="AB89" i="17" s="1"/>
  <c r="AC70" i="16" s="1"/>
  <c r="AQ77" i="16"/>
  <c r="AO85" i="16"/>
  <c r="H14" i="25" s="1"/>
  <c r="AO89" i="16"/>
  <c r="H18" i="25" s="1"/>
  <c r="P108" i="16"/>
  <c r="E5" i="17"/>
  <c r="K5" i="17" s="1"/>
  <c r="AE5" i="16" s="1"/>
  <c r="AF5" i="16" s="1"/>
  <c r="AU5" i="16" s="1"/>
  <c r="S10" i="17"/>
  <c r="T10" i="17" s="1"/>
  <c r="AC10" i="16" s="1"/>
  <c r="AL10" i="16" s="1"/>
  <c r="N29" i="17"/>
  <c r="AC29" i="17" s="1"/>
  <c r="AH29" i="16" s="1"/>
  <c r="U30" i="17"/>
  <c r="W30" i="17" s="1"/>
  <c r="N31" i="17"/>
  <c r="AC31" i="17" s="1"/>
  <c r="AH31" i="16" s="1"/>
  <c r="U32" i="17"/>
  <c r="W32" i="17" s="1"/>
  <c r="N33" i="17"/>
  <c r="AC33" i="17" s="1"/>
  <c r="AH33" i="16" s="1"/>
  <c r="U34" i="17"/>
  <c r="W34" i="17" s="1"/>
  <c r="N35" i="17"/>
  <c r="AC35" i="17" s="1"/>
  <c r="AH35" i="16" s="1"/>
  <c r="N41" i="17"/>
  <c r="N45" i="17"/>
  <c r="AH71" i="17"/>
  <c r="Y53" i="16" s="1"/>
  <c r="Z53" i="16" s="1"/>
  <c r="AF63" i="17"/>
  <c r="Q63" i="17"/>
  <c r="J79" i="16"/>
  <c r="AK79" i="16"/>
  <c r="AN79" i="16" s="1"/>
  <c r="AQ79" i="16" s="1"/>
  <c r="AB83" i="19" s="1"/>
  <c r="J85" i="16"/>
  <c r="AK85" i="16"/>
  <c r="AN85" i="16" s="1"/>
  <c r="AQ85" i="16" s="1"/>
  <c r="AB89" i="19" s="1"/>
  <c r="J89" i="16"/>
  <c r="AK89" i="16"/>
  <c r="AN89" i="16" s="1"/>
  <c r="AQ89" i="16" s="1"/>
  <c r="AB93" i="19" s="1"/>
  <c r="J95" i="16"/>
  <c r="J99" i="16"/>
  <c r="J101" i="16"/>
  <c r="J105" i="16"/>
  <c r="N5" i="17"/>
  <c r="N15" i="17"/>
  <c r="N16" i="17"/>
  <c r="Z16" i="17" s="1"/>
  <c r="AI16" i="16" s="1"/>
  <c r="N17" i="17"/>
  <c r="Z17" i="17" s="1"/>
  <c r="AI17" i="16" s="1"/>
  <c r="U23" i="17"/>
  <c r="W23" i="17" s="1"/>
  <c r="N24" i="17"/>
  <c r="W24" i="17" s="1"/>
  <c r="U25" i="17"/>
  <c r="W25" i="17" s="1"/>
  <c r="N26" i="17"/>
  <c r="AC26" i="17" s="1"/>
  <c r="AH26" i="16" s="1"/>
  <c r="U27" i="17"/>
  <c r="W27" i="17" s="1"/>
  <c r="AF29" i="17"/>
  <c r="AI29" i="16" s="1"/>
  <c r="N42" i="17"/>
  <c r="AI68" i="17"/>
  <c r="AE50" i="16" s="1"/>
  <c r="AF50" i="16" s="1"/>
  <c r="AH68" i="17"/>
  <c r="Y50" i="16" s="1"/>
  <c r="Z50" i="16" s="1"/>
  <c r="AF50" i="17"/>
  <c r="AF51" i="17"/>
  <c r="AM69" i="17" s="1"/>
  <c r="AI51" i="16" s="1"/>
  <c r="Q51" i="17"/>
  <c r="N53" i="17"/>
  <c r="W53" i="17" s="1"/>
  <c r="AC61" i="17"/>
  <c r="Q66" i="17"/>
  <c r="AF66" i="17"/>
  <c r="Q70" i="17"/>
  <c r="AF70" i="17"/>
  <c r="E91" i="17"/>
  <c r="Z79" i="17"/>
  <c r="AB79" i="17" s="1"/>
  <c r="AC60" i="16" s="1"/>
  <c r="AL60" i="16" s="1"/>
  <c r="AO60" i="16" s="1"/>
  <c r="AR60" i="16" s="1"/>
  <c r="Z81" i="17"/>
  <c r="AB81" i="17" s="1"/>
  <c r="AC62" i="16" s="1"/>
  <c r="Z85" i="17"/>
  <c r="AB85" i="17" s="1"/>
  <c r="AC66" i="16" s="1"/>
  <c r="Z86" i="17"/>
  <c r="AB86" i="17" s="1"/>
  <c r="AC67" i="16" s="1"/>
  <c r="Z88" i="17"/>
  <c r="AB88" i="17" s="1"/>
  <c r="AC69" i="16" s="1"/>
  <c r="AL69" i="16" s="1"/>
  <c r="AO69" i="16" s="1"/>
  <c r="AR69" i="16" s="1"/>
  <c r="Z90" i="17"/>
  <c r="AB90" i="17" s="1"/>
  <c r="AC71" i="16" s="1"/>
  <c r="AO77" i="16"/>
  <c r="H6" i="25" s="1"/>
  <c r="AO81" i="16"/>
  <c r="H10" i="25" s="1"/>
  <c r="AO87" i="16"/>
  <c r="H16" i="25" s="1"/>
  <c r="N54" i="17"/>
  <c r="AM61" i="17"/>
  <c r="AI43" i="16" s="1"/>
  <c r="AL61" i="17"/>
  <c r="AH43" i="16" s="1"/>
  <c r="AJ61" i="17"/>
  <c r="AB43" i="16" s="1"/>
  <c r="AH62" i="17"/>
  <c r="Y44" i="16" s="1"/>
  <c r="Z44" i="16" s="1"/>
  <c r="AM66" i="17"/>
  <c r="AI48" i="16" s="1"/>
  <c r="AL66" i="17"/>
  <c r="AH48" i="16" s="1"/>
  <c r="AJ66" i="17"/>
  <c r="AB48" i="16" s="1"/>
  <c r="AI67" i="17"/>
  <c r="AE49" i="16" s="1"/>
  <c r="AF49" i="16" s="1"/>
  <c r="AH67" i="17"/>
  <c r="Y49" i="16" s="1"/>
  <c r="Z49" i="16" s="1"/>
  <c r="C72" i="17"/>
  <c r="E72" i="17" s="1"/>
  <c r="H59" i="17"/>
  <c r="Q61" i="17"/>
  <c r="AF61" i="17"/>
  <c r="W62" i="17"/>
  <c r="Y66" i="17"/>
  <c r="Z66" i="17" s="1"/>
  <c r="Y70" i="17"/>
  <c r="Z70" i="17" s="1"/>
  <c r="W50" i="17"/>
  <c r="K53" i="17"/>
  <c r="AI71" i="17" s="1"/>
  <c r="AE53" i="16" s="1"/>
  <c r="AF53" i="16" s="1"/>
  <c r="W61" i="17"/>
  <c r="K62" i="17"/>
  <c r="AI62" i="17" s="1"/>
  <c r="AE44" i="16" s="1"/>
  <c r="AF44" i="16" s="1"/>
  <c r="AF62" i="17"/>
  <c r="H63" i="17"/>
  <c r="AC63" i="17"/>
  <c r="Q65" i="17"/>
  <c r="K67" i="17"/>
  <c r="AF67" i="17"/>
  <c r="Q69" i="17"/>
  <c r="K71" i="17"/>
  <c r="AF71" i="17"/>
  <c r="H84" i="17"/>
  <c r="Z65" i="16" s="1"/>
  <c r="H85" i="17"/>
  <c r="Z66" i="16" s="1"/>
  <c r="H86" i="17"/>
  <c r="Z67" i="16" s="1"/>
  <c r="H89" i="17"/>
  <c r="Z70" i="16" s="1"/>
  <c r="H90" i="17"/>
  <c r="Z71" i="16" s="1"/>
  <c r="P38" i="19"/>
  <c r="G19" i="18"/>
  <c r="U28" i="19"/>
  <c r="AD28" i="19" s="1"/>
  <c r="U31" i="19"/>
  <c r="AD31" i="19" s="1"/>
  <c r="U50" i="19"/>
  <c r="AD50" i="19" s="1"/>
  <c r="N60" i="17"/>
  <c r="AC60" i="17" s="1"/>
  <c r="O78" i="17"/>
  <c r="Z78" i="17" s="1"/>
  <c r="AB78" i="17" s="1"/>
  <c r="AC59" i="16" s="1"/>
  <c r="D19" i="18"/>
  <c r="S19" i="19"/>
  <c r="T5" i="19"/>
  <c r="T19" i="19" s="1"/>
  <c r="E11" i="23" s="1"/>
  <c r="H11" i="23" s="1"/>
  <c r="U26" i="19"/>
  <c r="AD26" i="19" s="1"/>
  <c r="U34" i="19"/>
  <c r="AD34" i="19" s="1"/>
  <c r="N52" i="17"/>
  <c r="W52" i="17" s="1"/>
  <c r="N59" i="17"/>
  <c r="W59" i="17"/>
  <c r="H61" i="17"/>
  <c r="Q62" i="17"/>
  <c r="H66" i="17"/>
  <c r="Q67" i="17"/>
  <c r="N68" i="17"/>
  <c r="H70" i="17"/>
  <c r="AH70" i="17" s="1"/>
  <c r="Y52" i="16" s="1"/>
  <c r="Q71" i="17"/>
  <c r="H78" i="17"/>
  <c r="Z59" i="16" s="1"/>
  <c r="H80" i="17"/>
  <c r="Z61" i="16" s="1"/>
  <c r="H81" i="17"/>
  <c r="Z62" i="16" s="1"/>
  <c r="H82" i="17"/>
  <c r="Z63" i="16" s="1"/>
  <c r="P57" i="19"/>
  <c r="U24" i="19"/>
  <c r="U27" i="19"/>
  <c r="AD27" i="19" s="1"/>
  <c r="U35" i="19"/>
  <c r="AD35" i="19" s="1"/>
  <c r="U46" i="19"/>
  <c r="AD46" i="19" s="1"/>
  <c r="E78" i="17"/>
  <c r="K78" i="17" s="1"/>
  <c r="AF59" i="16" s="1"/>
  <c r="AE59" i="16" s="1"/>
  <c r="J19" i="18"/>
  <c r="U30" i="19"/>
  <c r="AD30" i="19" s="1"/>
  <c r="U48" i="19"/>
  <c r="AD48" i="19" s="1"/>
  <c r="G32" i="18"/>
  <c r="G44" i="18"/>
  <c r="G48" i="18"/>
  <c r="G52" i="18"/>
  <c r="R57" i="19"/>
  <c r="S11" i="23" s="1"/>
  <c r="S12" i="23" s="1"/>
  <c r="G62" i="18"/>
  <c r="G66" i="18"/>
  <c r="G70" i="18"/>
  <c r="U51" i="19"/>
  <c r="AD51" i="19" s="1"/>
  <c r="U53" i="19"/>
  <c r="AD53" i="19" s="1"/>
  <c r="U55" i="19"/>
  <c r="AD55" i="19" s="1"/>
  <c r="U68" i="19"/>
  <c r="AD68" i="19" s="1"/>
  <c r="U83" i="19"/>
  <c r="AD83" i="19" s="1"/>
  <c r="U86" i="19"/>
  <c r="AD86" i="19" s="1"/>
  <c r="C12" i="23"/>
  <c r="Z19" i="19"/>
  <c r="Z38" i="19"/>
  <c r="U45" i="19"/>
  <c r="AD45" i="19" s="1"/>
  <c r="U66" i="19"/>
  <c r="AD66" i="19" s="1"/>
  <c r="U67" i="19"/>
  <c r="AD67" i="19" s="1"/>
  <c r="U74" i="19"/>
  <c r="AD74" i="19" s="1"/>
  <c r="U75" i="19"/>
  <c r="AD75" i="19" s="1"/>
  <c r="U85" i="19"/>
  <c r="AD85" i="19" s="1"/>
  <c r="U88" i="19"/>
  <c r="AD88" i="19" s="1"/>
  <c r="U93" i="19"/>
  <c r="AD93" i="19" s="1"/>
  <c r="G26" i="18"/>
  <c r="G30" i="18"/>
  <c r="T24" i="19"/>
  <c r="T38" i="19" s="1"/>
  <c r="M11" i="23" s="1"/>
  <c r="P11" i="23" s="1"/>
  <c r="G42" i="18"/>
  <c r="G46" i="18"/>
  <c r="C38" i="19"/>
  <c r="K6" i="23" s="1"/>
  <c r="K12" i="23" s="1"/>
  <c r="T43" i="19"/>
  <c r="T57" i="19" s="1"/>
  <c r="U11" i="23" s="1"/>
  <c r="X11" i="23" s="1"/>
  <c r="G60" i="18"/>
  <c r="G64" i="18"/>
  <c r="U47" i="19"/>
  <c r="AD47" i="19" s="1"/>
  <c r="U64" i="19"/>
  <c r="AD64" i="19" s="1"/>
  <c r="U72" i="19"/>
  <c r="AD72" i="19" s="1"/>
  <c r="U82" i="19"/>
  <c r="AD82" i="19" s="1"/>
  <c r="U87" i="19"/>
  <c r="AD87" i="19" s="1"/>
  <c r="U90" i="19"/>
  <c r="AD90" i="19" s="1"/>
  <c r="U43" i="19"/>
  <c r="U49" i="19"/>
  <c r="AD49" i="19" s="1"/>
  <c r="U56" i="19"/>
  <c r="AD56" i="19" s="1"/>
  <c r="U62" i="19"/>
  <c r="AA12" i="23"/>
  <c r="U63" i="19"/>
  <c r="AD63" i="19" s="1"/>
  <c r="U70" i="19"/>
  <c r="AD70" i="19" s="1"/>
  <c r="U71" i="19"/>
  <c r="AD71" i="19" s="1"/>
  <c r="U84" i="19"/>
  <c r="AD84" i="19" s="1"/>
  <c r="U89" i="19"/>
  <c r="AD89" i="19" s="1"/>
  <c r="Z56" i="19"/>
  <c r="C76" i="19"/>
  <c r="AA6" i="23" s="1"/>
  <c r="U81" i="19"/>
  <c r="U103" i="19"/>
  <c r="AD103" i="19" s="1"/>
  <c r="U106" i="19"/>
  <c r="AD106" i="19" s="1"/>
  <c r="U94" i="19"/>
  <c r="AD94" i="19" s="1"/>
  <c r="U100" i="19"/>
  <c r="U105" i="19"/>
  <c r="AD105" i="19" s="1"/>
  <c r="U108" i="19"/>
  <c r="AD108" i="19" s="1"/>
  <c r="U113" i="19"/>
  <c r="AD113" i="19" s="1"/>
  <c r="O95" i="19"/>
  <c r="S95" i="19"/>
  <c r="T114" i="19"/>
  <c r="U102" i="19"/>
  <c r="AD102" i="19" s="1"/>
  <c r="U110" i="19"/>
  <c r="AD110" i="19" s="1"/>
  <c r="T95" i="19"/>
  <c r="U101" i="19"/>
  <c r="AD101" i="19" s="1"/>
  <c r="U104" i="19"/>
  <c r="AD104" i="19" s="1"/>
  <c r="U109" i="19"/>
  <c r="AD109" i="19" s="1"/>
  <c r="U112" i="19"/>
  <c r="AD112" i="19" s="1"/>
  <c r="C114" i="19"/>
  <c r="S114" i="19"/>
  <c r="F33" i="24"/>
  <c r="I27" i="24"/>
  <c r="H27" i="24"/>
  <c r="D33" i="24"/>
  <c r="F28" i="24"/>
  <c r="A32" i="18" l="1"/>
  <c r="F32" i="18" s="1"/>
  <c r="G37" i="18"/>
  <c r="G73" i="18"/>
  <c r="G55" i="18"/>
  <c r="Z53" i="17"/>
  <c r="Y53" i="17"/>
  <c r="Z27" i="17"/>
  <c r="AC27" i="16" s="1"/>
  <c r="AL27" i="16" s="1"/>
  <c r="Y27" i="17"/>
  <c r="Z52" i="16"/>
  <c r="Y52" i="17"/>
  <c r="Z52" i="17"/>
  <c r="AC72" i="19"/>
  <c r="AT69" i="16"/>
  <c r="AY69" i="16"/>
  <c r="AU69" i="16"/>
  <c r="D87" i="18" s="1"/>
  <c r="H87" i="18" s="1"/>
  <c r="Z47" i="16"/>
  <c r="AK47" i="16"/>
  <c r="AN47" i="16" s="1"/>
  <c r="AQ47" i="16" s="1"/>
  <c r="Z43" i="16"/>
  <c r="AK43" i="16"/>
  <c r="AN43" i="16" s="1"/>
  <c r="AQ43" i="16" s="1"/>
  <c r="C46" i="18"/>
  <c r="N5" i="19"/>
  <c r="E23" i="18"/>
  <c r="AT13" i="13"/>
  <c r="N13" i="13"/>
  <c r="Y49" i="17"/>
  <c r="Z49" i="17" s="1"/>
  <c r="Z48" i="16"/>
  <c r="AK48" i="16"/>
  <c r="AN48" i="16" s="1"/>
  <c r="AQ48" i="16" s="1"/>
  <c r="AK66" i="17"/>
  <c r="AC48" i="16" s="1"/>
  <c r="Y25" i="17"/>
  <c r="Z25" i="17" s="1"/>
  <c r="AC25" i="16" s="1"/>
  <c r="AL25" i="16" s="1"/>
  <c r="Y24" i="17"/>
  <c r="Z24" i="17" s="1"/>
  <c r="AC24" i="16" s="1"/>
  <c r="AT10" i="16"/>
  <c r="AO10" i="16"/>
  <c r="G10" i="22" s="1"/>
  <c r="I39" i="9"/>
  <c r="H39" i="9"/>
  <c r="I37" i="9"/>
  <c r="H37" i="9"/>
  <c r="I31" i="9"/>
  <c r="H31" i="9"/>
  <c r="E12" i="9" s="1"/>
  <c r="E12" i="19" s="1"/>
  <c r="I29" i="9"/>
  <c r="H29" i="9"/>
  <c r="E10" i="9" s="1"/>
  <c r="E10" i="19" s="1"/>
  <c r="S8" i="8"/>
  <c r="U8" i="8" s="1"/>
  <c r="G27" i="19" s="1"/>
  <c r="X47" i="8"/>
  <c r="F235" i="13"/>
  <c r="G235" i="13" s="1"/>
  <c r="J236" i="7"/>
  <c r="L236" i="7" s="1"/>
  <c r="F132" i="13"/>
  <c r="G132" i="13" s="1"/>
  <c r="J133" i="7"/>
  <c r="L133" i="7" s="1"/>
  <c r="F75" i="13"/>
  <c r="G75" i="13" s="1"/>
  <c r="J76" i="7"/>
  <c r="L76" i="7" s="1"/>
  <c r="AD13" i="13"/>
  <c r="Y23" i="17"/>
  <c r="Z23" i="17" s="1"/>
  <c r="AC23" i="16" s="1"/>
  <c r="AL23" i="16" s="1"/>
  <c r="D23" i="18"/>
  <c r="Z42" i="16"/>
  <c r="S12" i="8"/>
  <c r="U12" i="8" s="1"/>
  <c r="G31" i="19" s="1"/>
  <c r="X51" i="8"/>
  <c r="AC60" i="8"/>
  <c r="V60" i="8"/>
  <c r="X60" i="8" s="1"/>
  <c r="V13" i="13"/>
  <c r="U114" i="19"/>
  <c r="AD100" i="19"/>
  <c r="AD114" i="19" s="1"/>
  <c r="AD24" i="19"/>
  <c r="AD38" i="19" s="1"/>
  <c r="U38" i="19"/>
  <c r="Y61" i="16"/>
  <c r="AK61" i="16" s="1"/>
  <c r="AN61" i="16" s="1"/>
  <c r="AL61" i="16"/>
  <c r="AO61" i="16" s="1"/>
  <c r="AF68" i="17"/>
  <c r="AM68" i="17" s="1"/>
  <c r="AI50" i="16" s="1"/>
  <c r="Q68" i="17"/>
  <c r="AG19" i="19"/>
  <c r="Y70" i="16"/>
  <c r="AK70" i="16" s="1"/>
  <c r="AN70" i="16" s="1"/>
  <c r="AL70" i="16"/>
  <c r="AO70" i="16" s="1"/>
  <c r="AF78" i="17"/>
  <c r="AI59" i="16" s="1"/>
  <c r="AC68" i="17"/>
  <c r="AL68" i="17" s="1"/>
  <c r="AH50" i="16" s="1"/>
  <c r="Y61" i="17"/>
  <c r="Z61" i="17" s="1"/>
  <c r="AC52" i="17"/>
  <c r="AF49" i="17"/>
  <c r="W5" i="17"/>
  <c r="AH5" i="16" s="1"/>
  <c r="Z5" i="17"/>
  <c r="AI5" i="16" s="1"/>
  <c r="Q5" i="17"/>
  <c r="V108" i="16"/>
  <c r="J108" i="16"/>
  <c r="M108" i="16"/>
  <c r="S108" i="16"/>
  <c r="W60" i="17"/>
  <c r="AJ63" i="17"/>
  <c r="AB45" i="16" s="1"/>
  <c r="AL63" i="17"/>
  <c r="AH45" i="16" s="1"/>
  <c r="AC45" i="17"/>
  <c r="Y65" i="17"/>
  <c r="Z65" i="17" s="1"/>
  <c r="Q53" i="17"/>
  <c r="H45" i="17"/>
  <c r="AH63" i="17" s="1"/>
  <c r="Y45" i="16" s="1"/>
  <c r="AH59" i="17"/>
  <c r="Y41" i="16" s="1"/>
  <c r="H41" i="17"/>
  <c r="Q31" i="17"/>
  <c r="Q29" i="17"/>
  <c r="AC24" i="17"/>
  <c r="AH24" i="16" s="1"/>
  <c r="Q23" i="17"/>
  <c r="AF23" i="17"/>
  <c r="AI23" i="16" s="1"/>
  <c r="AK14" i="16"/>
  <c r="AN14" i="16" s="1"/>
  <c r="AQ14" i="16" s="1"/>
  <c r="AB14" i="19" s="1"/>
  <c r="Z14" i="16"/>
  <c r="H5" i="17"/>
  <c r="Y5" i="16" s="1"/>
  <c r="K31" i="17"/>
  <c r="AE31" i="16" s="1"/>
  <c r="AF31" i="16" s="1"/>
  <c r="AU31" i="16" s="1"/>
  <c r="D49" i="18" s="1"/>
  <c r="H49" i="18" s="1"/>
  <c r="S12" i="17"/>
  <c r="T12" i="17" s="1"/>
  <c r="AC12" i="16" s="1"/>
  <c r="AO96" i="16"/>
  <c r="H26" i="25" s="1"/>
  <c r="Y43" i="17"/>
  <c r="Z43" i="17" s="1"/>
  <c r="AK61" i="17" s="1"/>
  <c r="AC43" i="16" s="1"/>
  <c r="AF33" i="17"/>
  <c r="AI33" i="16" s="1"/>
  <c r="S8" i="17"/>
  <c r="T8" i="17" s="1"/>
  <c r="AC8" i="16" s="1"/>
  <c r="K36" i="16"/>
  <c r="W18" i="16"/>
  <c r="C10" i="22"/>
  <c r="F10" i="22" s="1"/>
  <c r="H10" i="22" s="1"/>
  <c r="Q10" i="16"/>
  <c r="AR10" i="16" s="1"/>
  <c r="AC10" i="19" s="1"/>
  <c r="AU10" i="16"/>
  <c r="D28" i="18" s="1"/>
  <c r="C6" i="22"/>
  <c r="Q6" i="16"/>
  <c r="N69" i="19"/>
  <c r="E84" i="18"/>
  <c r="W35" i="17"/>
  <c r="S9" i="17"/>
  <c r="T9" i="17" s="1"/>
  <c r="AC9" i="16" s="1"/>
  <c r="AL9" i="16" s="1"/>
  <c r="D89" i="21"/>
  <c r="E107" i="16"/>
  <c r="H89" i="16"/>
  <c r="K89" i="16" s="1"/>
  <c r="D85" i="21"/>
  <c r="E103" i="16"/>
  <c r="H85" i="16"/>
  <c r="K85" i="16" s="1"/>
  <c r="D79" i="21"/>
  <c r="E97" i="16"/>
  <c r="H79" i="16"/>
  <c r="K79" i="16" s="1"/>
  <c r="N87" i="19"/>
  <c r="E101" i="18"/>
  <c r="K45" i="17"/>
  <c r="AI63" i="17" s="1"/>
  <c r="AE45" i="16" s="1"/>
  <c r="AF45" i="16" s="1"/>
  <c r="K41" i="17"/>
  <c r="AI59" i="17" s="1"/>
  <c r="AE41" i="16" s="1"/>
  <c r="AF41" i="16" s="1"/>
  <c r="S6" i="17"/>
  <c r="T6" i="17" s="1"/>
  <c r="AC6" i="16" s="1"/>
  <c r="AO102" i="16"/>
  <c r="H32" i="25" s="1"/>
  <c r="C32" i="22"/>
  <c r="F32" i="22" s="1"/>
  <c r="Q32" i="16"/>
  <c r="C14" i="22"/>
  <c r="F14" i="22" s="1"/>
  <c r="Q14" i="16"/>
  <c r="C8" i="22"/>
  <c r="F8" i="22" s="1"/>
  <c r="Q8" i="16"/>
  <c r="N109" i="19"/>
  <c r="E122" i="18"/>
  <c r="N31" i="19"/>
  <c r="E48" i="18"/>
  <c r="R38" i="14"/>
  <c r="AK9" i="16"/>
  <c r="AN9" i="16" s="1"/>
  <c r="AQ9" i="16" s="1"/>
  <c r="AB9" i="19" s="1"/>
  <c r="Q72" i="14"/>
  <c r="N53" i="19"/>
  <c r="E69" i="18"/>
  <c r="M19" i="14"/>
  <c r="E9" i="23" s="1"/>
  <c r="AK33" i="16"/>
  <c r="N81" i="14"/>
  <c r="N76" i="14"/>
  <c r="N36" i="19"/>
  <c r="E53" i="18"/>
  <c r="Q73" i="14"/>
  <c r="O73" i="14"/>
  <c r="F70" i="21" s="1"/>
  <c r="S54" i="14"/>
  <c r="M54" i="19" s="1"/>
  <c r="N106" i="14"/>
  <c r="Q106" i="14" s="1"/>
  <c r="O62" i="14"/>
  <c r="Q57" i="14"/>
  <c r="S57" i="14" s="1"/>
  <c r="S43" i="14"/>
  <c r="M43" i="19" s="1"/>
  <c r="Q38" i="14"/>
  <c r="S24" i="14"/>
  <c r="M24" i="19" s="1"/>
  <c r="N14" i="19"/>
  <c r="E32" i="18"/>
  <c r="S6" i="14"/>
  <c r="M6" i="19" s="1"/>
  <c r="F95" i="21"/>
  <c r="J257" i="13"/>
  <c r="I257" i="13"/>
  <c r="J202" i="13"/>
  <c r="I202" i="13"/>
  <c r="I183" i="13"/>
  <c r="K183" i="13" s="1"/>
  <c r="P183" i="13" s="1"/>
  <c r="J183" i="13"/>
  <c r="J150" i="13"/>
  <c r="I150" i="13"/>
  <c r="J81" i="19"/>
  <c r="J95" i="19" s="1"/>
  <c r="P19" i="12"/>
  <c r="BD39" i="8"/>
  <c r="E39" i="8"/>
  <c r="AE38" i="8"/>
  <c r="BD37" i="8"/>
  <c r="E37" i="8"/>
  <c r="AE36" i="8"/>
  <c r="BD35" i="8"/>
  <c r="E35" i="8"/>
  <c r="AE34" i="8"/>
  <c r="AX15" i="10"/>
  <c r="BD33" i="8"/>
  <c r="E33" i="8"/>
  <c r="AE32" i="8"/>
  <c r="BD31" i="8"/>
  <c r="J13" i="10"/>
  <c r="E31" i="8"/>
  <c r="AD12" i="10"/>
  <c r="AE30" i="8"/>
  <c r="BD29" i="8"/>
  <c r="J11" i="10"/>
  <c r="E29" i="8"/>
  <c r="AE28" i="8"/>
  <c r="J85" i="13"/>
  <c r="I85" i="13"/>
  <c r="F22" i="10"/>
  <c r="E23" i="8"/>
  <c r="H13" i="10"/>
  <c r="E32" i="9" s="1"/>
  <c r="F32" i="9" s="1"/>
  <c r="AB10" i="10"/>
  <c r="Q29" i="9" s="1"/>
  <c r="AC22" i="10"/>
  <c r="L60" i="9"/>
  <c r="O60" i="9" s="1"/>
  <c r="BG59" i="8"/>
  <c r="AK44" i="8"/>
  <c r="AF5" i="8"/>
  <c r="J287" i="13"/>
  <c r="I287" i="13"/>
  <c r="J283" i="13"/>
  <c r="I283" i="13"/>
  <c r="E279" i="13"/>
  <c r="G279" i="13" s="1"/>
  <c r="D299" i="7"/>
  <c r="J280" i="7"/>
  <c r="L280" i="7" s="1"/>
  <c r="E275" i="13"/>
  <c r="G275" i="13" s="1"/>
  <c r="D295" i="7"/>
  <c r="J276" i="7"/>
  <c r="L276" i="7" s="1"/>
  <c r="AV17" i="10"/>
  <c r="AC36" i="9" s="1"/>
  <c r="H17" i="10"/>
  <c r="E36" i="9" s="1"/>
  <c r="F36" i="9" s="1"/>
  <c r="AB16" i="10"/>
  <c r="Q35" i="9" s="1"/>
  <c r="AV15" i="10"/>
  <c r="AC34" i="9" s="1"/>
  <c r="H15" i="10"/>
  <c r="E34" i="9" s="1"/>
  <c r="AB14" i="10"/>
  <c r="Q33" i="9" s="1"/>
  <c r="AV13" i="10"/>
  <c r="AC32" i="9" s="1"/>
  <c r="AC24" i="9"/>
  <c r="H5" i="10"/>
  <c r="J5" i="10" s="1"/>
  <c r="K114" i="13"/>
  <c r="K110" i="13"/>
  <c r="K106" i="13"/>
  <c r="K102" i="13"/>
  <c r="N54" i="9"/>
  <c r="G13" i="9" s="1"/>
  <c r="D32" i="19" s="1"/>
  <c r="L54" i="9"/>
  <c r="O54" i="9" s="1"/>
  <c r="S10" i="8"/>
  <c r="U10" i="8" s="1"/>
  <c r="G29" i="19" s="1"/>
  <c r="V29" i="19" s="1"/>
  <c r="AE29" i="19" s="1"/>
  <c r="X49" i="8"/>
  <c r="AK46" i="8"/>
  <c r="AF7" i="8"/>
  <c r="AH7" i="8" s="1"/>
  <c r="G45" i="19" s="1"/>
  <c r="AP44" i="8"/>
  <c r="BG36" i="8"/>
  <c r="M286" i="13"/>
  <c r="O286" i="13" s="1"/>
  <c r="R287" i="7"/>
  <c r="T287" i="7" s="1"/>
  <c r="M282" i="13"/>
  <c r="O282" i="13" s="1"/>
  <c r="R283" i="7"/>
  <c r="T283" i="7" s="1"/>
  <c r="F265" i="13"/>
  <c r="G265" i="13" s="1"/>
  <c r="J266" i="7"/>
  <c r="L266" i="7" s="1"/>
  <c r="H56" i="9"/>
  <c r="D15" i="9" s="1"/>
  <c r="D15" i="19" s="1"/>
  <c r="AD53" i="9"/>
  <c r="AG53" i="9" s="1"/>
  <c r="AF53" i="9"/>
  <c r="P12" i="9" s="1"/>
  <c r="D88" i="19" s="1"/>
  <c r="T55" i="8"/>
  <c r="AC55" i="8" s="1"/>
  <c r="K51" i="8"/>
  <c r="F12" i="8"/>
  <c r="H12" i="8" s="1"/>
  <c r="G12" i="19" s="1"/>
  <c r="AK49" i="8"/>
  <c r="AF10" i="8"/>
  <c r="AH10" i="8" s="1"/>
  <c r="G48" i="19" s="1"/>
  <c r="X46" i="8"/>
  <c r="S7" i="8"/>
  <c r="U7" i="8" s="1"/>
  <c r="G26" i="19" s="1"/>
  <c r="BT39" i="8"/>
  <c r="BT23" i="8"/>
  <c r="F264" i="13"/>
  <c r="G264" i="13" s="1"/>
  <c r="J265" i="7"/>
  <c r="L265" i="7" s="1"/>
  <c r="M182" i="13"/>
  <c r="O182" i="13" s="1"/>
  <c r="R183" i="7"/>
  <c r="T183" i="7" s="1"/>
  <c r="H52" i="9"/>
  <c r="D11" i="9" s="1"/>
  <c r="D11" i="19" s="1"/>
  <c r="AD49" i="9"/>
  <c r="AG49" i="9" s="1"/>
  <c r="AF26" i="9"/>
  <c r="Q7" i="9" s="1"/>
  <c r="E83" i="19" s="1"/>
  <c r="AD26" i="9"/>
  <c r="AG26" i="9" s="1"/>
  <c r="AW18" i="8"/>
  <c r="BV53" i="8"/>
  <c r="BI32" i="8"/>
  <c r="BJ14" i="8" s="1"/>
  <c r="BG14" i="8"/>
  <c r="N270" i="13"/>
  <c r="M16" i="10"/>
  <c r="N242" i="7"/>
  <c r="N241" i="13" s="1"/>
  <c r="N237" i="7"/>
  <c r="N236" i="13" s="1"/>
  <c r="N250" i="7"/>
  <c r="N249" i="13" s="1"/>
  <c r="N248" i="7"/>
  <c r="N247" i="13" s="1"/>
  <c r="N246" i="7"/>
  <c r="N245" i="13" s="1"/>
  <c r="Z61" i="9"/>
  <c r="Z55" i="9"/>
  <c r="M14" i="9" s="1"/>
  <c r="D71" i="19" s="1"/>
  <c r="AG54" i="8"/>
  <c r="AP54" i="8" s="1"/>
  <c r="AI54" i="8"/>
  <c r="X52" i="8"/>
  <c r="S13" i="8"/>
  <c r="U13" i="8" s="1"/>
  <c r="G32" i="19" s="1"/>
  <c r="X50" i="8"/>
  <c r="S11" i="8"/>
  <c r="U11" i="8" s="1"/>
  <c r="G30" i="19" s="1"/>
  <c r="AF8" i="8"/>
  <c r="AH8" i="8" s="1"/>
  <c r="G46" i="19" s="1"/>
  <c r="V46" i="19" s="1"/>
  <c r="AE46" i="19" s="1"/>
  <c r="AK47" i="8"/>
  <c r="I46" i="8"/>
  <c r="BT24" i="8"/>
  <c r="F263" i="13"/>
  <c r="G263" i="13" s="1"/>
  <c r="J264" i="7"/>
  <c r="L264" i="7" s="1"/>
  <c r="AQ16" i="10"/>
  <c r="AL250" i="7"/>
  <c r="AL249" i="13" s="1"/>
  <c r="AL248" i="7"/>
  <c r="AL247" i="13" s="1"/>
  <c r="AL246" i="7"/>
  <c r="AL245" i="13" s="1"/>
  <c r="AL242" i="7"/>
  <c r="AL241" i="13" s="1"/>
  <c r="AL237" i="7"/>
  <c r="AL236" i="13" s="1"/>
  <c r="AT249" i="7"/>
  <c r="AT248" i="13" s="1"/>
  <c r="N249" i="7"/>
  <c r="N248" i="13" s="1"/>
  <c r="AT245" i="7"/>
  <c r="AT244" i="13" s="1"/>
  <c r="N245" i="7"/>
  <c r="N244" i="13" s="1"/>
  <c r="I220" i="13"/>
  <c r="J220" i="13"/>
  <c r="W10" i="10"/>
  <c r="V136" i="7"/>
  <c r="V135" i="13" s="1"/>
  <c r="V132" i="7"/>
  <c r="V131" i="13" s="1"/>
  <c r="V128" i="7"/>
  <c r="V127" i="13" s="1"/>
  <c r="V124" i="7"/>
  <c r="V123" i="13" s="1"/>
  <c r="V134" i="7"/>
  <c r="V133" i="13" s="1"/>
  <c r="V130" i="7"/>
  <c r="V129" i="13" s="1"/>
  <c r="V126" i="7"/>
  <c r="V125" i="13" s="1"/>
  <c r="V122" i="7"/>
  <c r="V121" i="13" s="1"/>
  <c r="W8" i="10"/>
  <c r="V79" i="7"/>
  <c r="V78" i="13" s="1"/>
  <c r="V75" i="7"/>
  <c r="V74" i="13" s="1"/>
  <c r="V71" i="7"/>
  <c r="V70" i="13" s="1"/>
  <c r="V67" i="7"/>
  <c r="V66" i="13" s="1"/>
  <c r="V77" i="7"/>
  <c r="V76" i="13" s="1"/>
  <c r="V73" i="7"/>
  <c r="V72" i="13" s="1"/>
  <c r="V69" i="7"/>
  <c r="V68" i="13" s="1"/>
  <c r="V65" i="7"/>
  <c r="V64" i="13" s="1"/>
  <c r="Z57" i="9"/>
  <c r="M16" i="9" s="1"/>
  <c r="D73" i="19" s="1"/>
  <c r="Z51" i="9"/>
  <c r="M10" i="9" s="1"/>
  <c r="D67" i="19" s="1"/>
  <c r="N25" i="9"/>
  <c r="H6" i="9" s="1"/>
  <c r="E25" i="19" s="1"/>
  <c r="F17" i="8"/>
  <c r="H17" i="8" s="1"/>
  <c r="G17" i="19" s="1"/>
  <c r="K56" i="8"/>
  <c r="AI53" i="8"/>
  <c r="BT28" i="8"/>
  <c r="F253" i="13"/>
  <c r="J254" i="7"/>
  <c r="F212" i="13"/>
  <c r="G212" i="13" s="1"/>
  <c r="J213" i="7"/>
  <c r="L213" i="7" s="1"/>
  <c r="F193" i="13"/>
  <c r="G193" i="13" s="1"/>
  <c r="J194" i="7"/>
  <c r="L194" i="7" s="1"/>
  <c r="F174" i="13"/>
  <c r="G174" i="13" s="1"/>
  <c r="J175" i="7"/>
  <c r="L175" i="7" s="1"/>
  <c r="F144" i="13"/>
  <c r="G144" i="13" s="1"/>
  <c r="J145" i="7"/>
  <c r="L145" i="7" s="1"/>
  <c r="F123" i="7"/>
  <c r="F95" i="13"/>
  <c r="G95" i="13" s="1"/>
  <c r="J96" i="7"/>
  <c r="L96" i="7" s="1"/>
  <c r="K83" i="7"/>
  <c r="I100" i="7"/>
  <c r="F66" i="7"/>
  <c r="F55" i="13"/>
  <c r="G55" i="13" s="1"/>
  <c r="J56" i="7"/>
  <c r="L56" i="7" s="1"/>
  <c r="F239" i="7"/>
  <c r="F229" i="13"/>
  <c r="G229" i="13" s="1"/>
  <c r="J230" i="7"/>
  <c r="L230" i="7" s="1"/>
  <c r="I233" i="7"/>
  <c r="I195" i="7"/>
  <c r="AD99" i="13"/>
  <c r="F241" i="7"/>
  <c r="N239" i="7"/>
  <c r="N238" i="13" s="1"/>
  <c r="AT236" i="7"/>
  <c r="AT235" i="13" s="1"/>
  <c r="V232" i="13"/>
  <c r="F211" i="13"/>
  <c r="G211" i="13" s="1"/>
  <c r="J212" i="7"/>
  <c r="L212" i="7" s="1"/>
  <c r="F205" i="13"/>
  <c r="G205" i="13" s="1"/>
  <c r="J206" i="7"/>
  <c r="L206" i="7" s="1"/>
  <c r="V194" i="13"/>
  <c r="F139" i="13"/>
  <c r="J140" i="7"/>
  <c r="F155" i="13"/>
  <c r="G155" i="13" s="1"/>
  <c r="J156" i="7"/>
  <c r="L156" i="7" s="1"/>
  <c r="F153" i="13"/>
  <c r="G153" i="13" s="1"/>
  <c r="J154" i="7"/>
  <c r="L154" i="7" s="1"/>
  <c r="F137" i="7"/>
  <c r="V133" i="7"/>
  <c r="V132" i="13" s="1"/>
  <c r="AL129" i="7"/>
  <c r="AL128" i="13" s="1"/>
  <c r="V127" i="7"/>
  <c r="V126" i="13" s="1"/>
  <c r="AL123" i="7"/>
  <c r="AL122" i="13" s="1"/>
  <c r="F121" i="7"/>
  <c r="F82" i="13"/>
  <c r="J83" i="7"/>
  <c r="F98" i="13"/>
  <c r="G98" i="13" s="1"/>
  <c r="J99" i="7"/>
  <c r="L99" i="7" s="1"/>
  <c r="F96" i="13"/>
  <c r="G96" i="13" s="1"/>
  <c r="J97" i="7"/>
  <c r="L97" i="7" s="1"/>
  <c r="F80" i="7"/>
  <c r="V76" i="7"/>
  <c r="V75" i="13" s="1"/>
  <c r="AL72" i="7"/>
  <c r="AL71" i="13" s="1"/>
  <c r="V70" i="7"/>
  <c r="V69" i="13" s="1"/>
  <c r="AL66" i="7"/>
  <c r="AL65" i="13" s="1"/>
  <c r="F64" i="7"/>
  <c r="V61" i="13"/>
  <c r="AL42" i="13"/>
  <c r="AQ5" i="10"/>
  <c r="AL23" i="7"/>
  <c r="AL19" i="7"/>
  <c r="AL11" i="7"/>
  <c r="AL17" i="7"/>
  <c r="AL9" i="7"/>
  <c r="AL21" i="7"/>
  <c r="AL13" i="7"/>
  <c r="AL15" i="7"/>
  <c r="AL7" i="7"/>
  <c r="C5" i="10"/>
  <c r="F23" i="7"/>
  <c r="F19" i="7"/>
  <c r="F11" i="7"/>
  <c r="F7" i="7"/>
  <c r="F13" i="7"/>
  <c r="F21" i="7"/>
  <c r="F17" i="7"/>
  <c r="F9" i="7"/>
  <c r="F15" i="7"/>
  <c r="AL20" i="7"/>
  <c r="F20" i="7"/>
  <c r="V16" i="7"/>
  <c r="AL12" i="7"/>
  <c r="F12" i="7"/>
  <c r="V8" i="7"/>
  <c r="AK309" i="7"/>
  <c r="I24" i="7"/>
  <c r="K7" i="7"/>
  <c r="F244" i="7"/>
  <c r="F235" i="7"/>
  <c r="M210" i="13"/>
  <c r="O210" i="13" s="1"/>
  <c r="R211" i="7"/>
  <c r="T211" i="7" s="1"/>
  <c r="M202" i="13"/>
  <c r="O202" i="13" s="1"/>
  <c r="R203" i="7"/>
  <c r="T203" i="7" s="1"/>
  <c r="AT213" i="13"/>
  <c r="Q197" i="7"/>
  <c r="K214" i="7"/>
  <c r="M154" i="13"/>
  <c r="O154" i="13" s="1"/>
  <c r="R155" i="7"/>
  <c r="T155" i="7" s="1"/>
  <c r="M146" i="13"/>
  <c r="O146" i="13" s="1"/>
  <c r="R147" i="7"/>
  <c r="T147" i="7" s="1"/>
  <c r="AT156" i="13"/>
  <c r="M97" i="13"/>
  <c r="O97" i="13" s="1"/>
  <c r="R98" i="7"/>
  <c r="T98" i="7" s="1"/>
  <c r="M89" i="13"/>
  <c r="O89" i="13" s="1"/>
  <c r="R90" i="7"/>
  <c r="T90" i="7" s="1"/>
  <c r="AT99" i="13"/>
  <c r="AT60" i="7"/>
  <c r="AT59" i="13" s="1"/>
  <c r="AD58" i="7"/>
  <c r="AD57" i="13" s="1"/>
  <c r="N56" i="7"/>
  <c r="N55" i="13" s="1"/>
  <c r="F49" i="13"/>
  <c r="G49" i="13" s="1"/>
  <c r="J50" i="7"/>
  <c r="L50" i="7" s="1"/>
  <c r="F45" i="13"/>
  <c r="G45" i="13" s="1"/>
  <c r="J46" i="7"/>
  <c r="L46" i="7" s="1"/>
  <c r="F54" i="13"/>
  <c r="G54" i="13" s="1"/>
  <c r="J55" i="7"/>
  <c r="L55" i="7" s="1"/>
  <c r="F60" i="13"/>
  <c r="G60" i="13" s="1"/>
  <c r="J61" i="7"/>
  <c r="L61" i="7" s="1"/>
  <c r="C309" i="7"/>
  <c r="N241" i="7"/>
  <c r="N240" i="13" s="1"/>
  <c r="I252" i="7"/>
  <c r="AL232" i="13"/>
  <c r="F226" i="13"/>
  <c r="G226" i="13" s="1"/>
  <c r="J227" i="7"/>
  <c r="L227" i="7" s="1"/>
  <c r="V213" i="13"/>
  <c r="F179" i="13"/>
  <c r="G179" i="13" s="1"/>
  <c r="J180" i="7"/>
  <c r="L180" i="7" s="1"/>
  <c r="F177" i="13"/>
  <c r="J178" i="7"/>
  <c r="F190" i="13"/>
  <c r="G190" i="13" s="1"/>
  <c r="J191" i="7"/>
  <c r="L191" i="7" s="1"/>
  <c r="F164" i="13"/>
  <c r="G164" i="13" s="1"/>
  <c r="J165" i="7"/>
  <c r="L165" i="7" s="1"/>
  <c r="F161" i="13"/>
  <c r="G161" i="13" s="1"/>
  <c r="J162" i="7"/>
  <c r="L162" i="7" s="1"/>
  <c r="F159" i="13"/>
  <c r="G159" i="13" s="1"/>
  <c r="J160" i="7"/>
  <c r="L160" i="7" s="1"/>
  <c r="AD137" i="7"/>
  <c r="AD136" i="13" s="1"/>
  <c r="N135" i="7"/>
  <c r="N134" i="13" s="1"/>
  <c r="AT131" i="7"/>
  <c r="AT130" i="13" s="1"/>
  <c r="AD129" i="7"/>
  <c r="AD128" i="13" s="1"/>
  <c r="AD121" i="7"/>
  <c r="AD120" i="13" s="1"/>
  <c r="AT80" i="7"/>
  <c r="AT79" i="13" s="1"/>
  <c r="AD78" i="7"/>
  <c r="AD77" i="13" s="1"/>
  <c r="N76" i="7"/>
  <c r="N75" i="13" s="1"/>
  <c r="AT72" i="7"/>
  <c r="AT71" i="13" s="1"/>
  <c r="AD70" i="7"/>
  <c r="AD69" i="13" s="1"/>
  <c r="BA6" i="10"/>
  <c r="AT37" i="7"/>
  <c r="AT36" i="13" s="1"/>
  <c r="AT33" i="7"/>
  <c r="AT32" i="13" s="1"/>
  <c r="AT29" i="7"/>
  <c r="AT28" i="13" s="1"/>
  <c r="AT41" i="7"/>
  <c r="AT40" i="13" s="1"/>
  <c r="AT39" i="7"/>
  <c r="AT38" i="13" s="1"/>
  <c r="AT35" i="7"/>
  <c r="AT34" i="13" s="1"/>
  <c r="AT31" i="7"/>
  <c r="AT30" i="13" s="1"/>
  <c r="AT27" i="7"/>
  <c r="AT26" i="13" s="1"/>
  <c r="F31" i="13"/>
  <c r="G31" i="13" s="1"/>
  <c r="J32" i="7"/>
  <c r="L32" i="7" s="1"/>
  <c r="AD22" i="7"/>
  <c r="AT18" i="7"/>
  <c r="N18" i="7"/>
  <c r="AT10" i="7"/>
  <c r="N10" i="7"/>
  <c r="AV292" i="7"/>
  <c r="AV309" i="7" s="1"/>
  <c r="AU309" i="7"/>
  <c r="P292" i="7"/>
  <c r="P309" i="7" s="1"/>
  <c r="O309" i="7"/>
  <c r="D29" i="2"/>
  <c r="D27" i="2"/>
  <c r="D28" i="2"/>
  <c r="D24" i="2"/>
  <c r="D23" i="2"/>
  <c r="D47" i="2" s="1"/>
  <c r="D75" i="2" s="1"/>
  <c r="D26" i="2"/>
  <c r="D25" i="2"/>
  <c r="D17" i="6"/>
  <c r="D39" i="6" s="1"/>
  <c r="E15" i="6"/>
  <c r="E16" i="6" s="1"/>
  <c r="F15" i="6" s="1"/>
  <c r="F16" i="6" s="1"/>
  <c r="G15" i="6" s="1"/>
  <c r="G16" i="6" s="1"/>
  <c r="H15" i="6" s="1"/>
  <c r="H16" i="6" s="1"/>
  <c r="I15" i="6" s="1"/>
  <c r="I16" i="6" s="1"/>
  <c r="V26" i="7"/>
  <c r="V25" i="13" s="1"/>
  <c r="AT40" i="7"/>
  <c r="AT39" i="13" s="1"/>
  <c r="N36" i="7"/>
  <c r="N35" i="13" s="1"/>
  <c r="AT32" i="7"/>
  <c r="AT31" i="13" s="1"/>
  <c r="E15" i="4"/>
  <c r="E16" i="4" s="1"/>
  <c r="D17" i="4"/>
  <c r="D39" i="4" s="1"/>
  <c r="V28" i="7"/>
  <c r="V27" i="13" s="1"/>
  <c r="F34" i="13"/>
  <c r="G34" i="13" s="1"/>
  <c r="J35" i="7"/>
  <c r="L35" i="7" s="1"/>
  <c r="F36" i="13"/>
  <c r="G36" i="13" s="1"/>
  <c r="J37" i="7"/>
  <c r="L37" i="7" s="1"/>
  <c r="D30" i="5"/>
  <c r="D32" i="5" s="1"/>
  <c r="D14" i="2"/>
  <c r="V36" i="7"/>
  <c r="V35" i="13" s="1"/>
  <c r="D22" i="6"/>
  <c r="D42" i="6" s="1"/>
  <c r="D44" i="6" s="1"/>
  <c r="D28" i="6" s="1"/>
  <c r="U95" i="19"/>
  <c r="U57" i="19"/>
  <c r="AD43" i="19"/>
  <c r="AD57" i="19" s="1"/>
  <c r="AL59" i="16"/>
  <c r="AO59" i="16" s="1"/>
  <c r="Y59" i="16"/>
  <c r="AK59" i="16" s="1"/>
  <c r="AN59" i="16" s="1"/>
  <c r="Z59" i="17"/>
  <c r="Y59" i="17"/>
  <c r="Y67" i="16"/>
  <c r="AK67" i="16" s="1"/>
  <c r="AL67" i="16"/>
  <c r="Q60" i="17"/>
  <c r="Y50" i="17"/>
  <c r="Z50" i="17"/>
  <c r="AJ71" i="17"/>
  <c r="AB53" i="16" s="1"/>
  <c r="AC53" i="17"/>
  <c r="AL71" i="17" s="1"/>
  <c r="AH53" i="16" s="1"/>
  <c r="AL60" i="17"/>
  <c r="AH42" i="16" s="1"/>
  <c r="AJ60" i="17"/>
  <c r="AB42" i="16" s="1"/>
  <c r="AK42" i="16" s="1"/>
  <c r="AN42" i="16" s="1"/>
  <c r="AQ42" i="16" s="1"/>
  <c r="AF42" i="17"/>
  <c r="AM60" i="17" s="1"/>
  <c r="AI42" i="16" s="1"/>
  <c r="Q42" i="17"/>
  <c r="AF26" i="17"/>
  <c r="AI26" i="16" s="1"/>
  <c r="Q26" i="17"/>
  <c r="W17" i="17"/>
  <c r="AH17" i="16" s="1"/>
  <c r="Q17" i="17"/>
  <c r="W68" i="17"/>
  <c r="AF60" i="17"/>
  <c r="AJ59" i="17"/>
  <c r="AB41" i="16" s="1"/>
  <c r="AC41" i="17"/>
  <c r="AL59" i="17" s="1"/>
  <c r="AH41" i="16" s="1"/>
  <c r="Y32" i="17"/>
  <c r="Z32" i="17" s="1"/>
  <c r="AC32" i="16" s="1"/>
  <c r="AL32" i="16" s="1"/>
  <c r="AB81" i="19"/>
  <c r="AB95" i="19" s="1"/>
  <c r="AQ90" i="16"/>
  <c r="Y71" i="17"/>
  <c r="Z71" i="17" s="1"/>
  <c r="AK71" i="17" s="1"/>
  <c r="AC53" i="16" s="1"/>
  <c r="AL53" i="16" s="1"/>
  <c r="Y63" i="17"/>
  <c r="Z63" i="17" s="1"/>
  <c r="Y44" i="17"/>
  <c r="Z44" i="17" s="1"/>
  <c r="AC42" i="17"/>
  <c r="AK8" i="16"/>
  <c r="AN8" i="16" s="1"/>
  <c r="AQ8" i="16" s="1"/>
  <c r="AB8" i="19" s="1"/>
  <c r="Z8" i="16"/>
  <c r="J90" i="16"/>
  <c r="M90" i="16" s="1"/>
  <c r="W26" i="17"/>
  <c r="AK53" i="16"/>
  <c r="F41" i="22"/>
  <c r="C54" i="22"/>
  <c r="D87" i="21"/>
  <c r="E105" i="16"/>
  <c r="H87" i="16"/>
  <c r="K87" i="16" s="1"/>
  <c r="D83" i="21"/>
  <c r="E101" i="16"/>
  <c r="H83" i="16"/>
  <c r="K83" i="16" s="1"/>
  <c r="D81" i="21"/>
  <c r="E99" i="16"/>
  <c r="H81" i="16"/>
  <c r="K81" i="16" s="1"/>
  <c r="AL64" i="17"/>
  <c r="AH46" i="16" s="1"/>
  <c r="AI46" i="16"/>
  <c r="S13" i="17"/>
  <c r="T13" i="17"/>
  <c r="AC13" i="16" s="1"/>
  <c r="AL13" i="16" s="1"/>
  <c r="C28" i="22"/>
  <c r="F28" i="22" s="1"/>
  <c r="H28" i="22" s="1"/>
  <c r="Q28" i="16"/>
  <c r="AR28" i="16" s="1"/>
  <c r="AC29" i="19" s="1"/>
  <c r="AU28" i="16"/>
  <c r="D46" i="18" s="1"/>
  <c r="H46" i="18" s="1"/>
  <c r="C24" i="22"/>
  <c r="Q24" i="16"/>
  <c r="N30" i="19"/>
  <c r="E47" i="18"/>
  <c r="K35" i="17"/>
  <c r="AE35" i="16" s="1"/>
  <c r="AF35" i="16" s="1"/>
  <c r="AU35" i="16" s="1"/>
  <c r="D53" i="18" s="1"/>
  <c r="H53" i="18" s="1"/>
  <c r="S14" i="17"/>
  <c r="T14" i="17" s="1"/>
  <c r="AC14" i="16" s="1"/>
  <c r="AB100" i="19"/>
  <c r="AB114" i="19" s="1"/>
  <c r="AQ108" i="16"/>
  <c r="AR70" i="16"/>
  <c r="N52" i="19"/>
  <c r="E68" i="18"/>
  <c r="W33" i="17"/>
  <c r="S11" i="17"/>
  <c r="T11" i="17"/>
  <c r="AC11" i="16" s="1"/>
  <c r="AO106" i="16"/>
  <c r="H36" i="25" s="1"/>
  <c r="Q54" i="16"/>
  <c r="D86" i="21"/>
  <c r="E104" i="16"/>
  <c r="H86" i="16"/>
  <c r="K86" i="16" s="1"/>
  <c r="C26" i="22"/>
  <c r="F26" i="22" s="1"/>
  <c r="Q26" i="16"/>
  <c r="N33" i="19"/>
  <c r="E50" i="18"/>
  <c r="N68" i="19"/>
  <c r="E83" i="18"/>
  <c r="P111" i="14"/>
  <c r="P92" i="14"/>
  <c r="P95" i="14" s="1"/>
  <c r="P66" i="14"/>
  <c r="S47" i="14"/>
  <c r="M47" i="19" s="1"/>
  <c r="AK31" i="16"/>
  <c r="AN31" i="16" s="1"/>
  <c r="AQ31" i="16" s="1"/>
  <c r="AB32" i="19" s="1"/>
  <c r="N91" i="19"/>
  <c r="E105" i="18"/>
  <c r="AN32" i="16"/>
  <c r="AQ32" i="16" s="1"/>
  <c r="AB33" i="19" s="1"/>
  <c r="AK13" i="16"/>
  <c r="AN13" i="16" s="1"/>
  <c r="AQ13" i="16" s="1"/>
  <c r="AB13" i="19" s="1"/>
  <c r="S18" i="16"/>
  <c r="C82" i="18"/>
  <c r="AV64" i="16"/>
  <c r="AK15" i="16"/>
  <c r="AK7" i="16"/>
  <c r="AN7" i="16" s="1"/>
  <c r="AQ7" i="16" s="1"/>
  <c r="AB7" i="19" s="1"/>
  <c r="Q112" i="14"/>
  <c r="AU32" i="16"/>
  <c r="D50" i="18" s="1"/>
  <c r="H50" i="18" s="1"/>
  <c r="N35" i="19"/>
  <c r="E52" i="18"/>
  <c r="M114" i="19"/>
  <c r="S32" i="14"/>
  <c r="M32" i="19" s="1"/>
  <c r="Y13" i="14"/>
  <c r="J225" i="13"/>
  <c r="I225" i="13"/>
  <c r="K225" i="13" s="1"/>
  <c r="P225" i="13" s="1"/>
  <c r="J178" i="13"/>
  <c r="I178" i="13"/>
  <c r="K178" i="13" s="1"/>
  <c r="P178" i="13" s="1"/>
  <c r="J146" i="13"/>
  <c r="I146" i="13"/>
  <c r="K146" i="13" s="1"/>
  <c r="P146" i="13" s="1"/>
  <c r="I101" i="13"/>
  <c r="K101" i="13" s="1"/>
  <c r="G118" i="13"/>
  <c r="J101" i="13"/>
  <c r="J118" i="13" s="1"/>
  <c r="J24" i="19"/>
  <c r="J38" i="19" s="1"/>
  <c r="G19" i="12"/>
  <c r="AN21" i="10"/>
  <c r="AQ39" i="8"/>
  <c r="BH20" i="10"/>
  <c r="BQ38" i="8"/>
  <c r="T20" i="10"/>
  <c r="R38" i="8"/>
  <c r="AN19" i="10"/>
  <c r="AQ37" i="8"/>
  <c r="BH18" i="10"/>
  <c r="BQ36" i="8"/>
  <c r="T18" i="10"/>
  <c r="R36" i="8"/>
  <c r="AN17" i="10"/>
  <c r="AQ35" i="8"/>
  <c r="BQ34" i="8"/>
  <c r="T16" i="10"/>
  <c r="R34" i="8"/>
  <c r="AQ33" i="8"/>
  <c r="BH14" i="10"/>
  <c r="BQ32" i="8"/>
  <c r="R32" i="8"/>
  <c r="AN13" i="10"/>
  <c r="AQ31" i="8"/>
  <c r="BQ30" i="8"/>
  <c r="R30" i="8"/>
  <c r="AN11" i="10"/>
  <c r="AQ29" i="8"/>
  <c r="BQ28" i="8"/>
  <c r="R28" i="8"/>
  <c r="J97" i="13"/>
  <c r="I97" i="13"/>
  <c r="AJ22" i="10"/>
  <c r="AN5" i="10"/>
  <c r="AQ23" i="8"/>
  <c r="BD27" i="8"/>
  <c r="L56" i="9"/>
  <c r="O56" i="9" s="1"/>
  <c r="BG57" i="8"/>
  <c r="BG38" i="8"/>
  <c r="J286" i="13"/>
  <c r="I286" i="13"/>
  <c r="K286" i="13" s="1"/>
  <c r="P286" i="13" s="1"/>
  <c r="J282" i="13"/>
  <c r="I282" i="13"/>
  <c r="K282" i="13" s="1"/>
  <c r="P282" i="13" s="1"/>
  <c r="E278" i="13"/>
  <c r="G278" i="13" s="1"/>
  <c r="D298" i="7"/>
  <c r="J279" i="7"/>
  <c r="L279" i="7" s="1"/>
  <c r="E274" i="13"/>
  <c r="G274" i="13" s="1"/>
  <c r="D294" i="7"/>
  <c r="J275" i="7"/>
  <c r="L275" i="7" s="1"/>
  <c r="AL17" i="10"/>
  <c r="W36" i="9" s="1"/>
  <c r="BF16" i="10"/>
  <c r="AI35" i="9" s="1"/>
  <c r="R16" i="10"/>
  <c r="K35" i="9" s="1"/>
  <c r="AL15" i="10"/>
  <c r="W34" i="9" s="1"/>
  <c r="BF14" i="10"/>
  <c r="AI33" i="9" s="1"/>
  <c r="R14" i="10"/>
  <c r="K33" i="9" s="1"/>
  <c r="AL13" i="10"/>
  <c r="W32" i="9" s="1"/>
  <c r="BF10" i="10"/>
  <c r="AI29" i="9" s="1"/>
  <c r="AL5" i="10"/>
  <c r="D5" i="9"/>
  <c r="U19" i="19"/>
  <c r="AD5" i="19"/>
  <c r="AD19" i="19" s="1"/>
  <c r="N50" i="9"/>
  <c r="G9" i="9" s="1"/>
  <c r="D28" i="19" s="1"/>
  <c r="L50" i="9"/>
  <c r="O50" i="9" s="1"/>
  <c r="AK50" i="8"/>
  <c r="AF11" i="8"/>
  <c r="AH11" i="8" s="1"/>
  <c r="G49" i="19" s="1"/>
  <c r="AS48" i="8"/>
  <c r="K44" i="8"/>
  <c r="F5" i="8"/>
  <c r="I61" i="8"/>
  <c r="BG32" i="8"/>
  <c r="M285" i="13"/>
  <c r="O285" i="13" s="1"/>
  <c r="R286" i="7"/>
  <c r="T286" i="7" s="1"/>
  <c r="F261" i="13"/>
  <c r="G261" i="13" s="1"/>
  <c r="J262" i="7"/>
  <c r="L262" i="7" s="1"/>
  <c r="H58" i="9"/>
  <c r="D17" i="9" s="1"/>
  <c r="D17" i="19" s="1"/>
  <c r="V17" i="19" s="1"/>
  <c r="BT60" i="8"/>
  <c r="K55" i="8"/>
  <c r="F16" i="8"/>
  <c r="H16" i="8" s="1"/>
  <c r="G16" i="19" s="1"/>
  <c r="V16" i="19" s="1"/>
  <c r="AS11" i="8"/>
  <c r="AU11" i="8" s="1"/>
  <c r="G68" i="19" s="1"/>
  <c r="AW50" i="8"/>
  <c r="K49" i="8"/>
  <c r="F10" i="8"/>
  <c r="H10" i="8" s="1"/>
  <c r="G10" i="19" s="1"/>
  <c r="V10" i="19" s="1"/>
  <c r="AE10" i="19" s="1"/>
  <c r="X44" i="8"/>
  <c r="S5" i="8"/>
  <c r="BT31" i="8"/>
  <c r="BT26" i="8"/>
  <c r="Q273" i="7"/>
  <c r="K290" i="7"/>
  <c r="F256" i="13"/>
  <c r="G256" i="13" s="1"/>
  <c r="J257" i="7"/>
  <c r="L257" i="7" s="1"/>
  <c r="F268" i="13"/>
  <c r="G268" i="13" s="1"/>
  <c r="J269" i="7"/>
  <c r="L269" i="7" s="1"/>
  <c r="I176" i="7"/>
  <c r="K159" i="7"/>
  <c r="H54" i="9"/>
  <c r="D13" i="9" s="1"/>
  <c r="D13" i="19" s="1"/>
  <c r="T57" i="8"/>
  <c r="X54" i="8"/>
  <c r="S15" i="8"/>
  <c r="U15" i="8" s="1"/>
  <c r="G34" i="19" s="1"/>
  <c r="K53" i="8"/>
  <c r="F14" i="8"/>
  <c r="H14" i="8" s="1"/>
  <c r="G14" i="19" s="1"/>
  <c r="V14" i="19" s="1"/>
  <c r="AE14" i="19" s="1"/>
  <c r="BT30" i="8"/>
  <c r="AT243" i="7"/>
  <c r="AT242" i="13" s="1"/>
  <c r="AD61" i="9"/>
  <c r="AG61" i="9" s="1"/>
  <c r="H48" i="9"/>
  <c r="D7" i="9" s="1"/>
  <c r="D7" i="19" s="1"/>
  <c r="F15" i="8"/>
  <c r="H15" i="8" s="1"/>
  <c r="G15" i="19" s="1"/>
  <c r="K54" i="8"/>
  <c r="BT48" i="8"/>
  <c r="K47" i="8"/>
  <c r="F8" i="8"/>
  <c r="H8" i="8" s="1"/>
  <c r="G8" i="19" s="1"/>
  <c r="V8" i="19" s="1"/>
  <c r="AE8" i="19" s="1"/>
  <c r="AK45" i="8"/>
  <c r="AF6" i="8"/>
  <c r="AH6" i="8" s="1"/>
  <c r="G44" i="19" s="1"/>
  <c r="V44" i="19" s="1"/>
  <c r="AE44" i="19" s="1"/>
  <c r="AW5" i="8"/>
  <c r="AW19" i="8" s="1"/>
  <c r="AV40" i="8"/>
  <c r="M259" i="13"/>
  <c r="O259" i="13" s="1"/>
  <c r="R260" i="7"/>
  <c r="T260" i="7" s="1"/>
  <c r="C16" i="10"/>
  <c r="F250" i="7"/>
  <c r="F248" i="7"/>
  <c r="F246" i="7"/>
  <c r="F242" i="7"/>
  <c r="F237" i="7"/>
  <c r="F249" i="7"/>
  <c r="F245" i="7"/>
  <c r="J182" i="13"/>
  <c r="I182" i="13"/>
  <c r="BA10" i="10"/>
  <c r="AT136" i="7"/>
  <c r="AT135" i="13" s="1"/>
  <c r="AT132" i="7"/>
  <c r="AT131" i="13" s="1"/>
  <c r="AT128" i="7"/>
  <c r="AT127" i="13" s="1"/>
  <c r="AT124" i="7"/>
  <c r="AT123" i="13" s="1"/>
  <c r="AT134" i="7"/>
  <c r="AT133" i="13" s="1"/>
  <c r="AT130" i="7"/>
  <c r="AT129" i="13" s="1"/>
  <c r="AT126" i="7"/>
  <c r="AT125" i="13" s="1"/>
  <c r="AT122" i="7"/>
  <c r="AT121" i="13" s="1"/>
  <c r="M10" i="10"/>
  <c r="N136" i="7"/>
  <c r="N135" i="13" s="1"/>
  <c r="N132" i="7"/>
  <c r="N131" i="13" s="1"/>
  <c r="N128" i="7"/>
  <c r="N127" i="13" s="1"/>
  <c r="N124" i="7"/>
  <c r="N123" i="13" s="1"/>
  <c r="N134" i="7"/>
  <c r="N133" i="13" s="1"/>
  <c r="N130" i="7"/>
  <c r="N129" i="13" s="1"/>
  <c r="N126" i="7"/>
  <c r="N125" i="13" s="1"/>
  <c r="N122" i="7"/>
  <c r="N121" i="13" s="1"/>
  <c r="BA8" i="10"/>
  <c r="AT79" i="7"/>
  <c r="AT78" i="13" s="1"/>
  <c r="AT75" i="7"/>
  <c r="AT74" i="13" s="1"/>
  <c r="AT71" i="7"/>
  <c r="AT70" i="13" s="1"/>
  <c r="AT67" i="7"/>
  <c r="AT66" i="13" s="1"/>
  <c r="AT77" i="7"/>
  <c r="AT76" i="13" s="1"/>
  <c r="AT73" i="7"/>
  <c r="AT72" i="13" s="1"/>
  <c r="AT69" i="7"/>
  <c r="AT68" i="13" s="1"/>
  <c r="AT65" i="7"/>
  <c r="AT64" i="13" s="1"/>
  <c r="AT80" i="13" s="1"/>
  <c r="M8" i="10"/>
  <c r="N79" i="7"/>
  <c r="N78" i="13" s="1"/>
  <c r="N75" i="7"/>
  <c r="N74" i="13" s="1"/>
  <c r="N71" i="7"/>
  <c r="N70" i="13" s="1"/>
  <c r="N67" i="7"/>
  <c r="N66" i="13" s="1"/>
  <c r="N77" i="7"/>
  <c r="N76" i="13" s="1"/>
  <c r="N73" i="7"/>
  <c r="N72" i="13" s="1"/>
  <c r="N69" i="7"/>
  <c r="N68" i="13" s="1"/>
  <c r="N65" i="7"/>
  <c r="N64" i="13" s="1"/>
  <c r="H60" i="9"/>
  <c r="AD57" i="9"/>
  <c r="AG57" i="9" s="1"/>
  <c r="X56" i="8"/>
  <c r="S17" i="8"/>
  <c r="U17" i="8" s="1"/>
  <c r="G36" i="19" s="1"/>
  <c r="BT25" i="8"/>
  <c r="F255" i="13"/>
  <c r="G255" i="13" s="1"/>
  <c r="J256" i="7"/>
  <c r="L256" i="7" s="1"/>
  <c r="AG16" i="10"/>
  <c r="AD244" i="7"/>
  <c r="AD243" i="13" s="1"/>
  <c r="AD242" i="7"/>
  <c r="AD241" i="13" s="1"/>
  <c r="AD237" i="7"/>
  <c r="AD236" i="13" s="1"/>
  <c r="AD250" i="7"/>
  <c r="AD249" i="13" s="1"/>
  <c r="AD248" i="7"/>
  <c r="AD247" i="13" s="1"/>
  <c r="AD246" i="7"/>
  <c r="AD245" i="13" s="1"/>
  <c r="F227" i="13"/>
  <c r="G227" i="13" s="1"/>
  <c r="J228" i="7"/>
  <c r="L228" i="7" s="1"/>
  <c r="F208" i="13"/>
  <c r="G208" i="13" s="1"/>
  <c r="J209" i="7"/>
  <c r="L209" i="7" s="1"/>
  <c r="F189" i="13"/>
  <c r="G189" i="13" s="1"/>
  <c r="J190" i="7"/>
  <c r="L190" i="7" s="1"/>
  <c r="F170" i="13"/>
  <c r="G170" i="13" s="1"/>
  <c r="J171" i="7"/>
  <c r="L171" i="7" s="1"/>
  <c r="F158" i="13"/>
  <c r="J159" i="7"/>
  <c r="F140" i="13"/>
  <c r="G140" i="13" s="1"/>
  <c r="J141" i="7"/>
  <c r="L141" i="7" s="1"/>
  <c r="F135" i="7"/>
  <c r="F91" i="13"/>
  <c r="G91" i="13" s="1"/>
  <c r="J92" i="7"/>
  <c r="L92" i="7" s="1"/>
  <c r="F78" i="7"/>
  <c r="F51" i="13"/>
  <c r="G51" i="13" s="1"/>
  <c r="J52" i="7"/>
  <c r="L52" i="7" s="1"/>
  <c r="AL240" i="7"/>
  <c r="AL239" i="13" s="1"/>
  <c r="M225" i="13"/>
  <c r="O225" i="13" s="1"/>
  <c r="R225" i="13" s="1"/>
  <c r="R226" i="7"/>
  <c r="T226" i="7" s="1"/>
  <c r="M216" i="13"/>
  <c r="O216" i="13" s="1"/>
  <c r="R217" i="7"/>
  <c r="T217" i="7" s="1"/>
  <c r="N232" i="13"/>
  <c r="AD213" i="13"/>
  <c r="M187" i="13"/>
  <c r="O187" i="13" s="1"/>
  <c r="R188" i="7"/>
  <c r="T188" i="7" s="1"/>
  <c r="M178" i="13"/>
  <c r="O178" i="13" s="1"/>
  <c r="R178" i="13" s="1"/>
  <c r="R179" i="7"/>
  <c r="T179" i="7" s="1"/>
  <c r="N194" i="13"/>
  <c r="AD156" i="13"/>
  <c r="BA7" i="10"/>
  <c r="AT61" i="7"/>
  <c r="AT60" i="13" s="1"/>
  <c r="AT57" i="7"/>
  <c r="AT56" i="13" s="1"/>
  <c r="AT53" i="7"/>
  <c r="AT52" i="13" s="1"/>
  <c r="AT59" i="7"/>
  <c r="AT58" i="13" s="1"/>
  <c r="AT55" i="7"/>
  <c r="AT54" i="13" s="1"/>
  <c r="AT51" i="7"/>
  <c r="AT50" i="13" s="1"/>
  <c r="AT49" i="7"/>
  <c r="AT48" i="13" s="1"/>
  <c r="AT47" i="7"/>
  <c r="AT46" i="13" s="1"/>
  <c r="AT45" i="7"/>
  <c r="AT44" i="13" s="1"/>
  <c r="N243" i="7"/>
  <c r="N242" i="13" s="1"/>
  <c r="AT240" i="7"/>
  <c r="AT239" i="13" s="1"/>
  <c r="AL238" i="7"/>
  <c r="AL237" i="13" s="1"/>
  <c r="AD236" i="7"/>
  <c r="AD235" i="13" s="1"/>
  <c r="F198" i="13"/>
  <c r="G198" i="13" s="1"/>
  <c r="J199" i="7"/>
  <c r="L199" i="7" s="1"/>
  <c r="F196" i="13"/>
  <c r="J197" i="7"/>
  <c r="F209" i="13"/>
  <c r="G209" i="13" s="1"/>
  <c r="J210" i="7"/>
  <c r="L210" i="7" s="1"/>
  <c r="F143" i="13"/>
  <c r="G143" i="13" s="1"/>
  <c r="J144" i="7"/>
  <c r="L144" i="7" s="1"/>
  <c r="F141" i="13"/>
  <c r="G141" i="13" s="1"/>
  <c r="J142" i="7"/>
  <c r="L142" i="7" s="1"/>
  <c r="AL135" i="7"/>
  <c r="AL134" i="13" s="1"/>
  <c r="V129" i="7"/>
  <c r="V128" i="13" s="1"/>
  <c r="V123" i="7"/>
  <c r="V122" i="13" s="1"/>
  <c r="F86" i="13"/>
  <c r="G86" i="13" s="1"/>
  <c r="J87" i="7"/>
  <c r="L87" i="7" s="1"/>
  <c r="F84" i="13"/>
  <c r="G84" i="13" s="1"/>
  <c r="J85" i="7"/>
  <c r="L85" i="7" s="1"/>
  <c r="AL78" i="7"/>
  <c r="AL77" i="13" s="1"/>
  <c r="V72" i="7"/>
  <c r="V71" i="13" s="1"/>
  <c r="V66" i="7"/>
  <c r="V65" i="13" s="1"/>
  <c r="F44" i="13"/>
  <c r="J45" i="7"/>
  <c r="AG5" i="10"/>
  <c r="AD23" i="7"/>
  <c r="AD19" i="7"/>
  <c r="AD11" i="7"/>
  <c r="AD21" i="7"/>
  <c r="AD17" i="7"/>
  <c r="AD9" i="7"/>
  <c r="AD13" i="7"/>
  <c r="AD15" i="7"/>
  <c r="AD7" i="7"/>
  <c r="AD20" i="7"/>
  <c r="AT16" i="7"/>
  <c r="N16" i="7"/>
  <c r="AD12" i="7"/>
  <c r="AT8" i="7"/>
  <c r="N8" i="7"/>
  <c r="AC309" i="7"/>
  <c r="E309" i="7"/>
  <c r="I214" i="7"/>
  <c r="AD60" i="7"/>
  <c r="AD59" i="13" s="1"/>
  <c r="N58" i="7"/>
  <c r="N57" i="13" s="1"/>
  <c r="AT54" i="7"/>
  <c r="AT53" i="13" s="1"/>
  <c r="AD52" i="7"/>
  <c r="AD51" i="13" s="1"/>
  <c r="AD50" i="7"/>
  <c r="AD49" i="13" s="1"/>
  <c r="AT48" i="7"/>
  <c r="AT47" i="13" s="1"/>
  <c r="N48" i="7"/>
  <c r="N47" i="13" s="1"/>
  <c r="F58" i="13"/>
  <c r="G58" i="13" s="1"/>
  <c r="J59" i="7"/>
  <c r="L59" i="7" s="1"/>
  <c r="I292" i="7"/>
  <c r="F243" i="7"/>
  <c r="AD240" i="7"/>
  <c r="AD239" i="13" s="1"/>
  <c r="N238" i="7"/>
  <c r="N237" i="13" s="1"/>
  <c r="AT235" i="7"/>
  <c r="AT234" i="13" s="1"/>
  <c r="F230" i="13"/>
  <c r="G230" i="13" s="1"/>
  <c r="J231" i="7"/>
  <c r="L231" i="7" s="1"/>
  <c r="F224" i="13"/>
  <c r="G224" i="13" s="1"/>
  <c r="J225" i="7"/>
  <c r="L225" i="7" s="1"/>
  <c r="F184" i="13"/>
  <c r="G184" i="13" s="1"/>
  <c r="J185" i="7"/>
  <c r="L185" i="7" s="1"/>
  <c r="F181" i="13"/>
  <c r="G181" i="13" s="1"/>
  <c r="J182" i="7"/>
  <c r="L182" i="7" s="1"/>
  <c r="F160" i="13"/>
  <c r="G160" i="13" s="1"/>
  <c r="J161" i="7"/>
  <c r="L161" i="7" s="1"/>
  <c r="F165" i="13"/>
  <c r="G165" i="13" s="1"/>
  <c r="J166" i="7"/>
  <c r="L166" i="7" s="1"/>
  <c r="F163" i="13"/>
  <c r="G163" i="13" s="1"/>
  <c r="J164" i="7"/>
  <c r="L164" i="7" s="1"/>
  <c r="N137" i="7"/>
  <c r="N136" i="13" s="1"/>
  <c r="AT133" i="7"/>
  <c r="AT132" i="13" s="1"/>
  <c r="AD131" i="7"/>
  <c r="AD130" i="13" s="1"/>
  <c r="N129" i="7"/>
  <c r="N128" i="13" s="1"/>
  <c r="AT125" i="7"/>
  <c r="AT124" i="13" s="1"/>
  <c r="AD123" i="7"/>
  <c r="AD122" i="13" s="1"/>
  <c r="N121" i="7"/>
  <c r="N120" i="13" s="1"/>
  <c r="AD80" i="7"/>
  <c r="AD79" i="13" s="1"/>
  <c r="N78" i="7"/>
  <c r="N77" i="13" s="1"/>
  <c r="AT74" i="7"/>
  <c r="AT73" i="13" s="1"/>
  <c r="AD72" i="7"/>
  <c r="AD71" i="13" s="1"/>
  <c r="N70" i="7"/>
  <c r="N69" i="13" s="1"/>
  <c r="AT66" i="7"/>
  <c r="AT65" i="13" s="1"/>
  <c r="AD64" i="7"/>
  <c r="AD63" i="13" s="1"/>
  <c r="M6" i="10"/>
  <c r="N37" i="7"/>
  <c r="N36" i="13" s="1"/>
  <c r="N33" i="7"/>
  <c r="N32" i="13" s="1"/>
  <c r="N29" i="7"/>
  <c r="N28" i="13" s="1"/>
  <c r="N41" i="7"/>
  <c r="N40" i="13" s="1"/>
  <c r="N39" i="7"/>
  <c r="N38" i="13" s="1"/>
  <c r="N35" i="7"/>
  <c r="N34" i="13" s="1"/>
  <c r="N31" i="7"/>
  <c r="N30" i="13" s="1"/>
  <c r="N27" i="7"/>
  <c r="N26" i="13" s="1"/>
  <c r="F27" i="13"/>
  <c r="G27" i="13" s="1"/>
  <c r="J28" i="7"/>
  <c r="L28" i="7" s="1"/>
  <c r="V22" i="7"/>
  <c r="AL18" i="7"/>
  <c r="F18" i="7"/>
  <c r="AL10" i="7"/>
  <c r="F10" i="7"/>
  <c r="AN292" i="7"/>
  <c r="AN309" i="7" s="1"/>
  <c r="AM309" i="7"/>
  <c r="H292" i="7"/>
  <c r="H309" i="7" s="1"/>
  <c r="G309" i="7"/>
  <c r="D35" i="5"/>
  <c r="C39" i="5"/>
  <c r="N38" i="7"/>
  <c r="N37" i="13" s="1"/>
  <c r="AT34" i="7"/>
  <c r="AT33" i="13" s="1"/>
  <c r="N30" i="7"/>
  <c r="N29" i="13" s="1"/>
  <c r="AT26" i="7"/>
  <c r="AT25" i="13" s="1"/>
  <c r="F38" i="13"/>
  <c r="G38" i="13" s="1"/>
  <c r="J39" i="7"/>
  <c r="L39" i="7" s="1"/>
  <c r="F40" i="13"/>
  <c r="G40" i="13" s="1"/>
  <c r="J41" i="7"/>
  <c r="L41" i="7" s="1"/>
  <c r="E11" i="2"/>
  <c r="V38" i="7"/>
  <c r="V37" i="13" s="1"/>
  <c r="U76" i="19"/>
  <c r="AD62" i="19"/>
  <c r="AD76" i="19" s="1"/>
  <c r="AG57" i="19"/>
  <c r="Y63" i="16"/>
  <c r="AK63" i="16" s="1"/>
  <c r="AN63" i="16" s="1"/>
  <c r="AL63" i="16"/>
  <c r="AO63" i="16" s="1"/>
  <c r="AR63" i="16" s="1"/>
  <c r="AF59" i="17"/>
  <c r="Q59" i="17"/>
  <c r="Y66" i="16"/>
  <c r="AK66" i="16" s="1"/>
  <c r="AN66" i="16" s="1"/>
  <c r="AL66" i="16"/>
  <c r="AO66" i="16" s="1"/>
  <c r="AC59" i="17"/>
  <c r="AC63" i="19"/>
  <c r="AT60" i="16"/>
  <c r="AY60" i="16"/>
  <c r="AU60" i="16"/>
  <c r="D78" i="18" s="1"/>
  <c r="H78" i="18" s="1"/>
  <c r="AF41" i="17"/>
  <c r="AM59" i="17" s="1"/>
  <c r="AI41" i="16" s="1"/>
  <c r="W16" i="17"/>
  <c r="AH16" i="16" s="1"/>
  <c r="Q16" i="17"/>
  <c r="AJ68" i="17"/>
  <c r="AB50" i="16" s="1"/>
  <c r="AK50" i="16" s="1"/>
  <c r="AN50" i="16" s="1"/>
  <c r="AQ50" i="16" s="1"/>
  <c r="Y69" i="17"/>
  <c r="Z69" i="17" s="1"/>
  <c r="AJ62" i="17"/>
  <c r="AB44" i="16" s="1"/>
  <c r="AL62" i="17"/>
  <c r="AH44" i="16" s="1"/>
  <c r="Q44" i="17"/>
  <c r="AF44" i="17"/>
  <c r="AM62" i="17" s="1"/>
  <c r="AI44" i="16" s="1"/>
  <c r="Q35" i="17"/>
  <c r="AK26" i="16"/>
  <c r="AN26" i="16" s="1"/>
  <c r="AQ26" i="16" s="1"/>
  <c r="AB27" i="19" s="1"/>
  <c r="Z26" i="16"/>
  <c r="AK24" i="16"/>
  <c r="AN24" i="16" s="1"/>
  <c r="AQ24" i="16" s="1"/>
  <c r="AB25" i="19" s="1"/>
  <c r="Z24" i="16"/>
  <c r="AK16" i="16"/>
  <c r="AN16" i="16" s="1"/>
  <c r="AQ16" i="16" s="1"/>
  <c r="AB16" i="19" s="1"/>
  <c r="Z16" i="16"/>
  <c r="AK12" i="16"/>
  <c r="AN12" i="16" s="1"/>
  <c r="AQ12" i="16" s="1"/>
  <c r="AB12" i="19" s="1"/>
  <c r="Z12" i="16"/>
  <c r="Y47" i="17"/>
  <c r="Z47" i="17" s="1"/>
  <c r="AK65" i="17" s="1"/>
  <c r="AC47" i="16" s="1"/>
  <c r="AF35" i="17"/>
  <c r="AI35" i="16" s="1"/>
  <c r="S7" i="17"/>
  <c r="T7" i="17" s="1"/>
  <c r="AC7" i="16" s="1"/>
  <c r="AL7" i="16" s="1"/>
  <c r="Q72" i="16"/>
  <c r="AR59" i="16"/>
  <c r="AK51" i="16"/>
  <c r="AN51" i="16" s="1"/>
  <c r="AQ51" i="16" s="1"/>
  <c r="D77" i="21"/>
  <c r="E95" i="16"/>
  <c r="H77" i="16"/>
  <c r="K77" i="16" s="1"/>
  <c r="Y51" i="17"/>
  <c r="Z51" i="17" s="1"/>
  <c r="AK69" i="17" s="1"/>
  <c r="AC51" i="16" s="1"/>
  <c r="AL51" i="16" s="1"/>
  <c r="AO51" i="16" s="1"/>
  <c r="AJ64" i="17"/>
  <c r="AB46" i="16" s="1"/>
  <c r="AK46" i="16" s="1"/>
  <c r="AN46" i="16" s="1"/>
  <c r="AQ46" i="16" s="1"/>
  <c r="AC46" i="16"/>
  <c r="AL46" i="16" s="1"/>
  <c r="AO46" i="16" s="1"/>
  <c r="G46" i="22" s="1"/>
  <c r="H46" i="22" s="1"/>
  <c r="W29" i="17"/>
  <c r="AO104" i="16"/>
  <c r="H34" i="25" s="1"/>
  <c r="V54" i="16"/>
  <c r="C34" i="22"/>
  <c r="F34" i="22" s="1"/>
  <c r="Q34" i="16"/>
  <c r="C30" i="22"/>
  <c r="F30" i="22" s="1"/>
  <c r="Q30" i="16"/>
  <c r="D82" i="21"/>
  <c r="E100" i="16"/>
  <c r="H82" i="16"/>
  <c r="K82" i="16" s="1"/>
  <c r="D78" i="21"/>
  <c r="E96" i="16"/>
  <c r="H78" i="16"/>
  <c r="K78" i="16" s="1"/>
  <c r="C12" i="22"/>
  <c r="F12" i="22" s="1"/>
  <c r="Q12" i="16"/>
  <c r="N71" i="19"/>
  <c r="E86" i="18"/>
  <c r="N16" i="19"/>
  <c r="E34" i="18"/>
  <c r="AF31" i="17"/>
  <c r="AI31" i="16" s="1"/>
  <c r="AR68" i="16"/>
  <c r="N89" i="19"/>
  <c r="E103" i="18"/>
  <c r="W42" i="17"/>
  <c r="K33" i="17"/>
  <c r="AE33" i="16" s="1"/>
  <c r="AF33" i="16" s="1"/>
  <c r="AU33" i="16" s="1"/>
  <c r="D51" i="18" s="1"/>
  <c r="H51" i="18" s="1"/>
  <c r="AR61" i="16"/>
  <c r="M36" i="16"/>
  <c r="D80" i="21"/>
  <c r="E98" i="16"/>
  <c r="H80" i="16"/>
  <c r="K80" i="16" s="1"/>
  <c r="M18" i="16"/>
  <c r="Q70" i="14"/>
  <c r="N17" i="19"/>
  <c r="E35" i="18"/>
  <c r="AN30" i="16"/>
  <c r="AQ30" i="16" s="1"/>
  <c r="AB31" i="19" s="1"/>
  <c r="AK17" i="16"/>
  <c r="AN17" i="16" s="1"/>
  <c r="AQ17" i="16" s="1"/>
  <c r="AB17" i="19" s="1"/>
  <c r="N34" i="19"/>
  <c r="E51" i="18"/>
  <c r="X57" i="14"/>
  <c r="E25" i="15"/>
  <c r="F25" i="15" s="1"/>
  <c r="G25" i="15" s="1"/>
  <c r="H25" i="15" s="1"/>
  <c r="N25" i="15" s="1"/>
  <c r="AU26" i="16"/>
  <c r="D44" i="18" s="1"/>
  <c r="H44" i="18" s="1"/>
  <c r="AU12" i="16"/>
  <c r="D30" i="18" s="1"/>
  <c r="H30" i="18" s="1"/>
  <c r="N90" i="19"/>
  <c r="E104" i="18"/>
  <c r="AU30" i="16"/>
  <c r="D48" i="18" s="1"/>
  <c r="H48" i="18" s="1"/>
  <c r="AU14" i="16"/>
  <c r="D32" i="18" s="1"/>
  <c r="H32" i="18" s="1"/>
  <c r="AU6" i="16"/>
  <c r="D24" i="18" s="1"/>
  <c r="H24" i="18" s="1"/>
  <c r="Q74" i="14"/>
  <c r="N55" i="19"/>
  <c r="E71" i="18"/>
  <c r="F5" i="21"/>
  <c r="F18" i="21" s="1"/>
  <c r="W19" i="14"/>
  <c r="AK44" i="16"/>
  <c r="AN44" i="16" s="1"/>
  <c r="AQ44" i="16" s="1"/>
  <c r="AK29" i="16"/>
  <c r="AK11" i="16"/>
  <c r="AN11" i="16" s="1"/>
  <c r="AQ11" i="16" s="1"/>
  <c r="AB11" i="19" s="1"/>
  <c r="Q111" i="14"/>
  <c r="C26" i="15"/>
  <c r="E26" i="15" s="1"/>
  <c r="F26" i="15" s="1"/>
  <c r="G26" i="15" s="1"/>
  <c r="H26" i="15" s="1"/>
  <c r="N26" i="15" s="1"/>
  <c r="T6" i="14"/>
  <c r="N108" i="14"/>
  <c r="Q108" i="14" s="1"/>
  <c r="N104" i="14"/>
  <c r="M57" i="14"/>
  <c r="U9" i="23" s="1"/>
  <c r="M38" i="14"/>
  <c r="M9" i="23" s="1"/>
  <c r="S52" i="14"/>
  <c r="M52" i="19" s="1"/>
  <c r="Y11" i="14"/>
  <c r="S55" i="14"/>
  <c r="M55" i="19" s="1"/>
  <c r="O38" i="14"/>
  <c r="S38" i="14" s="1"/>
  <c r="N51" i="19"/>
  <c r="E67" i="18"/>
  <c r="S50" i="14"/>
  <c r="M50" i="19" s="1"/>
  <c r="S51" i="14"/>
  <c r="M51" i="19" s="1"/>
  <c r="S45" i="14"/>
  <c r="M45" i="19" s="1"/>
  <c r="N12" i="19"/>
  <c r="E30" i="18"/>
  <c r="J210" i="13"/>
  <c r="I210" i="13"/>
  <c r="J221" i="13"/>
  <c r="I221" i="13"/>
  <c r="J259" i="13"/>
  <c r="I259" i="13"/>
  <c r="I191" i="13"/>
  <c r="K191" i="13" s="1"/>
  <c r="P191" i="13" s="1"/>
  <c r="J191" i="13"/>
  <c r="J142" i="13"/>
  <c r="I142" i="13"/>
  <c r="J62" i="19"/>
  <c r="J76" i="19" s="1"/>
  <c r="M19" i="12"/>
  <c r="G39" i="12"/>
  <c r="AD21" i="10"/>
  <c r="AE39" i="8"/>
  <c r="AX20" i="10"/>
  <c r="BD38" i="8"/>
  <c r="J20" i="10"/>
  <c r="E38" i="8"/>
  <c r="AD19" i="10"/>
  <c r="AE37" i="8"/>
  <c r="AX18" i="10"/>
  <c r="BD36" i="8"/>
  <c r="J18" i="10"/>
  <c r="E36" i="8"/>
  <c r="AE35" i="8"/>
  <c r="BD34" i="8"/>
  <c r="E34" i="8"/>
  <c r="AE33" i="8"/>
  <c r="BD32" i="8"/>
  <c r="E32" i="8"/>
  <c r="AE31" i="8"/>
  <c r="AX12" i="10"/>
  <c r="BD30" i="8"/>
  <c r="J12" i="10"/>
  <c r="E30" i="8"/>
  <c r="AE29" i="8"/>
  <c r="BD28" i="8"/>
  <c r="J10" i="10"/>
  <c r="E28" i="8"/>
  <c r="J93" i="13"/>
  <c r="I93" i="13"/>
  <c r="K93" i="13" s="1"/>
  <c r="P93" i="13" s="1"/>
  <c r="Z22" i="10"/>
  <c r="AE23" i="8"/>
  <c r="AV11" i="10"/>
  <c r="AC30" i="9" s="1"/>
  <c r="AV9" i="10"/>
  <c r="AC28" i="9" s="1"/>
  <c r="AD28" i="9" s="1"/>
  <c r="S22" i="10"/>
  <c r="L52" i="9"/>
  <c r="O52" i="9" s="1"/>
  <c r="N52" i="9"/>
  <c r="G11" i="9" s="1"/>
  <c r="D30" i="19" s="1"/>
  <c r="V30" i="19" s="1"/>
  <c r="AU51" i="8"/>
  <c r="BG51" i="8"/>
  <c r="BG34" i="8"/>
  <c r="J285" i="13"/>
  <c r="I285" i="13"/>
  <c r="E281" i="13"/>
  <c r="G281" i="13" s="1"/>
  <c r="D301" i="7"/>
  <c r="J282" i="7"/>
  <c r="L282" i="7" s="1"/>
  <c r="E277" i="13"/>
  <c r="G277" i="13" s="1"/>
  <c r="J278" i="7"/>
  <c r="L278" i="7" s="1"/>
  <c r="E273" i="13"/>
  <c r="G273" i="13" s="1"/>
  <c r="D293" i="7"/>
  <c r="J274" i="7"/>
  <c r="L274" i="7" s="1"/>
  <c r="AB17" i="10"/>
  <c r="Q36" i="9" s="1"/>
  <c r="AV16" i="10"/>
  <c r="AC35" i="9" s="1"/>
  <c r="H16" i="10"/>
  <c r="E35" i="9" s="1"/>
  <c r="AB15" i="10"/>
  <c r="Q34" i="9" s="1"/>
  <c r="AV14" i="10"/>
  <c r="AC33" i="9" s="1"/>
  <c r="H14" i="10"/>
  <c r="E33" i="9" s="1"/>
  <c r="BF12" i="10"/>
  <c r="AI31" i="9" s="1"/>
  <c r="R10" i="10"/>
  <c r="K29" i="9" s="1"/>
  <c r="AB5" i="10"/>
  <c r="K116" i="13"/>
  <c r="K112" i="13"/>
  <c r="K108" i="13"/>
  <c r="K104" i="13"/>
  <c r="AB11" i="10"/>
  <c r="Q30" i="9" s="1"/>
  <c r="N62" i="9"/>
  <c r="L62" i="9"/>
  <c r="O62" i="9" s="1"/>
  <c r="I46" i="9"/>
  <c r="F63" i="9"/>
  <c r="S14" i="8"/>
  <c r="U14" i="8" s="1"/>
  <c r="G33" i="19" s="1"/>
  <c r="V33" i="19" s="1"/>
  <c r="AE33" i="19" s="1"/>
  <c r="X53" i="8"/>
  <c r="K48" i="8"/>
  <c r="F9" i="8"/>
  <c r="H9" i="8" s="1"/>
  <c r="G9" i="19" s="1"/>
  <c r="AU45" i="8"/>
  <c r="BG45" i="8"/>
  <c r="M288" i="13"/>
  <c r="O288" i="13" s="1"/>
  <c r="R289" i="7"/>
  <c r="T289" i="7" s="1"/>
  <c r="M284" i="13"/>
  <c r="O284" i="13" s="1"/>
  <c r="R285" i="7"/>
  <c r="T285" i="7" s="1"/>
  <c r="V31" i="19"/>
  <c r="AE31" i="19" s="1"/>
  <c r="BI38" i="8"/>
  <c r="BV59" i="8"/>
  <c r="BV38" i="8" s="1"/>
  <c r="BI35" i="8"/>
  <c r="BJ17" i="8" s="1"/>
  <c r="BG17" i="8"/>
  <c r="BV56" i="8"/>
  <c r="BV52" i="8"/>
  <c r="BI31" i="8"/>
  <c r="BJ13" i="8" s="1"/>
  <c r="BG13" i="8"/>
  <c r="BT50" i="8"/>
  <c r="BU50" i="8" s="1"/>
  <c r="BH50" i="8"/>
  <c r="X48" i="8"/>
  <c r="S9" i="8"/>
  <c r="U9" i="8" s="1"/>
  <c r="G28" i="19" s="1"/>
  <c r="M258" i="13"/>
  <c r="O258" i="13" s="1"/>
  <c r="R259" i="7"/>
  <c r="T259" i="7" s="1"/>
  <c r="F262" i="13"/>
  <c r="G262" i="13" s="1"/>
  <c r="J263" i="7"/>
  <c r="L263" i="7" s="1"/>
  <c r="M220" i="13"/>
  <c r="O220" i="13" s="1"/>
  <c r="R221" i="7"/>
  <c r="T221" i="7" s="1"/>
  <c r="AD59" i="9"/>
  <c r="AG59" i="9" s="1"/>
  <c r="V27" i="19"/>
  <c r="AE27" i="19" s="1"/>
  <c r="AD47" i="9"/>
  <c r="AG47" i="9" s="1"/>
  <c r="AD27" i="9"/>
  <c r="AG27" i="9" s="1"/>
  <c r="T25" i="9"/>
  <c r="K6" i="9" s="1"/>
  <c r="E44" i="19" s="1"/>
  <c r="BI36" i="8"/>
  <c r="BG18" i="8"/>
  <c r="BV57" i="8"/>
  <c r="K57" i="8"/>
  <c r="F18" i="8"/>
  <c r="H18" i="8" s="1"/>
  <c r="G18" i="19" s="1"/>
  <c r="BH52" i="8"/>
  <c r="BT52" i="8"/>
  <c r="BU52" i="8" s="1"/>
  <c r="BV48" i="8"/>
  <c r="BI27" i="8"/>
  <c r="BJ9" i="8" s="1"/>
  <c r="BG9" i="8"/>
  <c r="AT270" i="13"/>
  <c r="I271" i="7"/>
  <c r="K254" i="7"/>
  <c r="H50" i="9"/>
  <c r="D9" i="9" s="1"/>
  <c r="D9" i="19" s="1"/>
  <c r="V9" i="19" s="1"/>
  <c r="AE9" i="19" s="1"/>
  <c r="BV58" i="8"/>
  <c r="BV37" i="8" s="1"/>
  <c r="BI37" i="8"/>
  <c r="BH53" i="8"/>
  <c r="BT53" i="8"/>
  <c r="BU53" i="8" s="1"/>
  <c r="AI52" i="8"/>
  <c r="AS7" i="8"/>
  <c r="AU7" i="8" s="1"/>
  <c r="G64" i="19" s="1"/>
  <c r="AW46" i="8"/>
  <c r="K45" i="8"/>
  <c r="F6" i="8"/>
  <c r="H6" i="8" s="1"/>
  <c r="G6" i="19" s="1"/>
  <c r="V6" i="19" s="1"/>
  <c r="BV44" i="8"/>
  <c r="BI23" i="8"/>
  <c r="BG5" i="8"/>
  <c r="BI61" i="8"/>
  <c r="BT33" i="8"/>
  <c r="AT251" i="7"/>
  <c r="AT250" i="13" s="1"/>
  <c r="N251" i="7"/>
  <c r="N250" i="13" s="1"/>
  <c r="AT247" i="7"/>
  <c r="AT246" i="13" s="1"/>
  <c r="N247" i="7"/>
  <c r="N246" i="13" s="1"/>
  <c r="J201" i="13"/>
  <c r="I201" i="13"/>
  <c r="AQ10" i="10"/>
  <c r="AL136" i="7"/>
  <c r="AL135" i="13" s="1"/>
  <c r="AL132" i="7"/>
  <c r="AL131" i="13" s="1"/>
  <c r="AL128" i="7"/>
  <c r="AL127" i="13" s="1"/>
  <c r="AL124" i="7"/>
  <c r="AL123" i="13" s="1"/>
  <c r="AL134" i="7"/>
  <c r="AL133" i="13" s="1"/>
  <c r="AL130" i="7"/>
  <c r="AL129" i="13" s="1"/>
  <c r="AL126" i="7"/>
  <c r="AL125" i="13" s="1"/>
  <c r="AL122" i="7"/>
  <c r="AL121" i="13" s="1"/>
  <c r="C10" i="10"/>
  <c r="F136" i="7"/>
  <c r="F132" i="7"/>
  <c r="F128" i="7"/>
  <c r="F124" i="7"/>
  <c r="F134" i="7"/>
  <c r="F130" i="7"/>
  <c r="F126" i="7"/>
  <c r="F122" i="7"/>
  <c r="AQ8" i="10"/>
  <c r="AL79" i="7"/>
  <c r="AL78" i="13" s="1"/>
  <c r="AL75" i="7"/>
  <c r="AL74" i="13" s="1"/>
  <c r="AL71" i="7"/>
  <c r="AL70" i="13" s="1"/>
  <c r="AL67" i="7"/>
  <c r="AL66" i="13" s="1"/>
  <c r="AL77" i="7"/>
  <c r="AL76" i="13" s="1"/>
  <c r="AL73" i="7"/>
  <c r="AL72" i="13" s="1"/>
  <c r="AL69" i="7"/>
  <c r="AL68" i="13" s="1"/>
  <c r="AL65" i="7"/>
  <c r="AL64" i="13" s="1"/>
  <c r="C8" i="10"/>
  <c r="F79" i="7"/>
  <c r="F75" i="7"/>
  <c r="F71" i="7"/>
  <c r="F67" i="7"/>
  <c r="F77" i="7"/>
  <c r="F73" i="7"/>
  <c r="F69" i="7"/>
  <c r="F65" i="7"/>
  <c r="H62" i="9"/>
  <c r="BV60" i="8"/>
  <c r="BV39" i="8" s="1"/>
  <c r="BI39" i="8"/>
  <c r="AG56" i="8"/>
  <c r="AP56" i="8" s="1"/>
  <c r="AI56" i="8"/>
  <c r="BI30" i="8"/>
  <c r="BJ12" i="8" s="1"/>
  <c r="BG12" i="8"/>
  <c r="BV51" i="8"/>
  <c r="BI29" i="8"/>
  <c r="BJ11" i="8" s="1"/>
  <c r="BG11" i="8"/>
  <c r="BV50" i="8"/>
  <c r="BV49" i="8"/>
  <c r="BI28" i="8"/>
  <c r="BJ10" i="8" s="1"/>
  <c r="BG10" i="8"/>
  <c r="AL270" i="13"/>
  <c r="F223" i="13"/>
  <c r="G223" i="13" s="1"/>
  <c r="J224" i="7"/>
  <c r="L224" i="7" s="1"/>
  <c r="F204" i="13"/>
  <c r="G204" i="13" s="1"/>
  <c r="J205" i="7"/>
  <c r="L205" i="7" s="1"/>
  <c r="F185" i="13"/>
  <c r="G185" i="13" s="1"/>
  <c r="J186" i="7"/>
  <c r="L186" i="7" s="1"/>
  <c r="F166" i="13"/>
  <c r="G166" i="13" s="1"/>
  <c r="J167" i="7"/>
  <c r="L167" i="7" s="1"/>
  <c r="F152" i="13"/>
  <c r="G152" i="13" s="1"/>
  <c r="J153" i="7"/>
  <c r="L153" i="7" s="1"/>
  <c r="K140" i="7"/>
  <c r="I157" i="7"/>
  <c r="F131" i="7"/>
  <c r="F87" i="13"/>
  <c r="G87" i="13" s="1"/>
  <c r="J88" i="7"/>
  <c r="L88" i="7" s="1"/>
  <c r="F74" i="7"/>
  <c r="M257" i="13"/>
  <c r="O257" i="13" s="1"/>
  <c r="R258" i="7"/>
  <c r="T258" i="7" s="1"/>
  <c r="F240" i="7"/>
  <c r="I216" i="13"/>
  <c r="K216" i="13" s="1"/>
  <c r="P216" i="13" s="1"/>
  <c r="J216" i="13"/>
  <c r="F57" i="13"/>
  <c r="G57" i="13" s="1"/>
  <c r="J58" i="7"/>
  <c r="L58" i="7" s="1"/>
  <c r="AG7" i="10"/>
  <c r="AD61" i="7"/>
  <c r="AD60" i="13" s="1"/>
  <c r="AD57" i="7"/>
  <c r="AD56" i="13" s="1"/>
  <c r="AD53" i="7"/>
  <c r="AD52" i="13" s="1"/>
  <c r="AD59" i="7"/>
  <c r="AD58" i="13" s="1"/>
  <c r="AD55" i="7"/>
  <c r="AD54" i="13" s="1"/>
  <c r="AD51" i="7"/>
  <c r="AD50" i="13" s="1"/>
  <c r="AD49" i="7"/>
  <c r="AD48" i="13" s="1"/>
  <c r="AD47" i="7"/>
  <c r="AD46" i="13" s="1"/>
  <c r="AD45" i="7"/>
  <c r="AD44" i="13" s="1"/>
  <c r="AL241" i="7"/>
  <c r="AL240" i="13" s="1"/>
  <c r="N240" i="7"/>
  <c r="N239" i="13" s="1"/>
  <c r="N236" i="7"/>
  <c r="N235" i="13" s="1"/>
  <c r="F231" i="13"/>
  <c r="G231" i="13" s="1"/>
  <c r="J232" i="7"/>
  <c r="L232" i="7" s="1"/>
  <c r="F203" i="13"/>
  <c r="G203" i="13" s="1"/>
  <c r="J204" i="7"/>
  <c r="L204" i="7" s="1"/>
  <c r="F200" i="13"/>
  <c r="G200" i="13" s="1"/>
  <c r="J201" i="7"/>
  <c r="L201" i="7" s="1"/>
  <c r="AL156" i="13"/>
  <c r="F147" i="13"/>
  <c r="G147" i="13" s="1"/>
  <c r="J148" i="7"/>
  <c r="L148" i="7" s="1"/>
  <c r="F145" i="13"/>
  <c r="G145" i="13" s="1"/>
  <c r="J146" i="7"/>
  <c r="L146" i="7" s="1"/>
  <c r="AL137" i="7"/>
  <c r="AL136" i="13" s="1"/>
  <c r="V135" i="7"/>
  <c r="V134" i="13" s="1"/>
  <c r="AL131" i="7"/>
  <c r="AL130" i="13" s="1"/>
  <c r="F129" i="7"/>
  <c r="V125" i="7"/>
  <c r="V124" i="13" s="1"/>
  <c r="AL121" i="7"/>
  <c r="AL120" i="13" s="1"/>
  <c r="AL99" i="13"/>
  <c r="F90" i="13"/>
  <c r="G90" i="13" s="1"/>
  <c r="J91" i="7"/>
  <c r="L91" i="7" s="1"/>
  <c r="F88" i="13"/>
  <c r="G88" i="13" s="1"/>
  <c r="J89" i="7"/>
  <c r="L89" i="7" s="1"/>
  <c r="AL80" i="7"/>
  <c r="AL79" i="13" s="1"/>
  <c r="V78" i="7"/>
  <c r="V77" i="13" s="1"/>
  <c r="AL74" i="7"/>
  <c r="AL73" i="13" s="1"/>
  <c r="F72" i="7"/>
  <c r="V68" i="7"/>
  <c r="V67" i="13" s="1"/>
  <c r="AL64" i="7"/>
  <c r="AL63" i="13" s="1"/>
  <c r="F46" i="13"/>
  <c r="G46" i="13" s="1"/>
  <c r="J47" i="7"/>
  <c r="L47" i="7" s="1"/>
  <c r="F25" i="13"/>
  <c r="J26" i="7"/>
  <c r="W5" i="10"/>
  <c r="V23" i="7"/>
  <c r="V19" i="7"/>
  <c r="V11" i="7"/>
  <c r="V17" i="7"/>
  <c r="V9" i="7"/>
  <c r="V21" i="7"/>
  <c r="V13" i="7"/>
  <c r="V15" i="7"/>
  <c r="V7" i="7"/>
  <c r="V20" i="7"/>
  <c r="AL16" i="7"/>
  <c r="F16" i="7"/>
  <c r="V12" i="7"/>
  <c r="AL8" i="7"/>
  <c r="F8" i="7"/>
  <c r="U309" i="7"/>
  <c r="AD232" i="13"/>
  <c r="M206" i="13"/>
  <c r="O206" i="13" s="1"/>
  <c r="R207" i="7"/>
  <c r="T207" i="7" s="1"/>
  <c r="M197" i="13"/>
  <c r="O197" i="13" s="1"/>
  <c r="R198" i="7"/>
  <c r="T198" i="7" s="1"/>
  <c r="N213" i="13"/>
  <c r="AD194" i="13"/>
  <c r="M150" i="13"/>
  <c r="O150" i="13" s="1"/>
  <c r="R151" i="7"/>
  <c r="T151" i="7" s="1"/>
  <c r="M142" i="13"/>
  <c r="O142" i="13" s="1"/>
  <c r="R143" i="7"/>
  <c r="T143" i="7" s="1"/>
  <c r="N156" i="13"/>
  <c r="M93" i="13"/>
  <c r="O93" i="13" s="1"/>
  <c r="R93" i="13" s="1"/>
  <c r="R94" i="7"/>
  <c r="T94" i="7" s="1"/>
  <c r="M85" i="13"/>
  <c r="O85" i="13" s="1"/>
  <c r="R86" i="7"/>
  <c r="T86" i="7" s="1"/>
  <c r="N99" i="13"/>
  <c r="N60" i="7"/>
  <c r="N59" i="13" s="1"/>
  <c r="AT56" i="7"/>
  <c r="AT55" i="13" s="1"/>
  <c r="AD54" i="7"/>
  <c r="AD53" i="13" s="1"/>
  <c r="F47" i="13"/>
  <c r="G47" i="13" s="1"/>
  <c r="J48" i="7"/>
  <c r="L48" i="7" s="1"/>
  <c r="F52" i="13"/>
  <c r="G52" i="13" s="1"/>
  <c r="J53" i="7"/>
  <c r="L53" i="7" s="1"/>
  <c r="W6" i="10"/>
  <c r="V41" i="7"/>
  <c r="V40" i="13" s="1"/>
  <c r="V37" i="7"/>
  <c r="V36" i="13" s="1"/>
  <c r="V33" i="7"/>
  <c r="V32" i="13" s="1"/>
  <c r="V29" i="7"/>
  <c r="V28" i="13" s="1"/>
  <c r="V39" i="7"/>
  <c r="V38" i="13" s="1"/>
  <c r="V35" i="7"/>
  <c r="V34" i="13" s="1"/>
  <c r="V31" i="7"/>
  <c r="V30" i="13" s="1"/>
  <c r="V27" i="7"/>
  <c r="V26" i="13" s="1"/>
  <c r="K26" i="7"/>
  <c r="I43" i="7"/>
  <c r="AT244" i="7"/>
  <c r="AT243" i="13" s="1"/>
  <c r="AD239" i="7"/>
  <c r="AD238" i="13" s="1"/>
  <c r="AL236" i="7"/>
  <c r="AL235" i="13" s="1"/>
  <c r="N235" i="7"/>
  <c r="N234" i="13" s="1"/>
  <c r="F217" i="13"/>
  <c r="G217" i="13" s="1"/>
  <c r="J218" i="7"/>
  <c r="L218" i="7" s="1"/>
  <c r="F215" i="13"/>
  <c r="J216" i="7"/>
  <c r="F228" i="13"/>
  <c r="G228" i="13" s="1"/>
  <c r="J229" i="7"/>
  <c r="L229" i="7" s="1"/>
  <c r="AL194" i="13"/>
  <c r="F188" i="13"/>
  <c r="G188" i="13" s="1"/>
  <c r="J189" i="7"/>
  <c r="L189" i="7" s="1"/>
  <c r="F172" i="13"/>
  <c r="G172" i="13" s="1"/>
  <c r="J173" i="7"/>
  <c r="L173" i="7" s="1"/>
  <c r="F169" i="13"/>
  <c r="G169" i="13" s="1"/>
  <c r="J170" i="7"/>
  <c r="L170" i="7" s="1"/>
  <c r="F167" i="13"/>
  <c r="G167" i="13" s="1"/>
  <c r="J168" i="7"/>
  <c r="L168" i="7" s="1"/>
  <c r="AT135" i="7"/>
  <c r="AT134" i="13" s="1"/>
  <c r="AD133" i="7"/>
  <c r="AD132" i="13" s="1"/>
  <c r="N131" i="7"/>
  <c r="N130" i="13" s="1"/>
  <c r="AT127" i="7"/>
  <c r="AT126" i="13" s="1"/>
  <c r="N123" i="7"/>
  <c r="N122" i="13" s="1"/>
  <c r="V99" i="13"/>
  <c r="N80" i="7"/>
  <c r="N79" i="13" s="1"/>
  <c r="AT76" i="7"/>
  <c r="AT75" i="13" s="1"/>
  <c r="AD74" i="7"/>
  <c r="AD73" i="13" s="1"/>
  <c r="N72" i="7"/>
  <c r="N71" i="13" s="1"/>
  <c r="AT68" i="7"/>
  <c r="AT67" i="13" s="1"/>
  <c r="N64" i="7"/>
  <c r="N63" i="13" s="1"/>
  <c r="F39" i="13"/>
  <c r="G39" i="13" s="1"/>
  <c r="J40" i="7"/>
  <c r="L40" i="7" s="1"/>
  <c r="AT22" i="7"/>
  <c r="N22" i="7"/>
  <c r="AD18" i="7"/>
  <c r="AD10" i="7"/>
  <c r="AF292" i="7"/>
  <c r="AF309" i="7" s="1"/>
  <c r="AE309" i="7"/>
  <c r="C30" i="6"/>
  <c r="C32" i="6" s="1"/>
  <c r="C29" i="6"/>
  <c r="D26" i="6" s="1"/>
  <c r="E17" i="5"/>
  <c r="F15" i="5"/>
  <c r="F16" i="5" s="1"/>
  <c r="G15" i="5" s="1"/>
  <c r="G16" i="5" s="1"/>
  <c r="H15" i="5" s="1"/>
  <c r="H16" i="5" s="1"/>
  <c r="I15" i="5" s="1"/>
  <c r="I16" i="5" s="1"/>
  <c r="J15" i="5" s="1"/>
  <c r="J16" i="5" s="1"/>
  <c r="K15" i="5" s="1"/>
  <c r="K16" i="5" s="1"/>
  <c r="N40" i="7"/>
  <c r="N39" i="13" s="1"/>
  <c r="AT36" i="7"/>
  <c r="AT35" i="13" s="1"/>
  <c r="N32" i="7"/>
  <c r="N31" i="13" s="1"/>
  <c r="AT28" i="7"/>
  <c r="AT27" i="13" s="1"/>
  <c r="F26" i="13"/>
  <c r="G26" i="13" s="1"/>
  <c r="J27" i="7"/>
  <c r="L27" i="7" s="1"/>
  <c r="F28" i="13"/>
  <c r="G28" i="13" s="1"/>
  <c r="J29" i="7"/>
  <c r="L29" i="7" s="1"/>
  <c r="F34" i="9"/>
  <c r="I34" i="9" s="1"/>
  <c r="F37" i="13"/>
  <c r="G37" i="13" s="1"/>
  <c r="J38" i="7"/>
  <c r="L38" i="7" s="1"/>
  <c r="V34" i="7"/>
  <c r="V33" i="13" s="1"/>
  <c r="F29" i="13"/>
  <c r="G29" i="13" s="1"/>
  <c r="J30" i="7"/>
  <c r="L30" i="7" s="1"/>
  <c r="D27" i="3"/>
  <c r="C29" i="3"/>
  <c r="U13" i="23"/>
  <c r="X13" i="23" s="1"/>
  <c r="Z57" i="19"/>
  <c r="Y62" i="16"/>
  <c r="AK62" i="16" s="1"/>
  <c r="AN62" i="16" s="1"/>
  <c r="AL62" i="16"/>
  <c r="AO62" i="16" s="1"/>
  <c r="AR62" i="16" s="1"/>
  <c r="AL70" i="17"/>
  <c r="AH52" i="16" s="1"/>
  <c r="AK70" i="17"/>
  <c r="AC52" i="16" s="1"/>
  <c r="AJ70" i="17"/>
  <c r="AB52" i="16" s="1"/>
  <c r="AK52" i="16" s="1"/>
  <c r="AN52" i="16" s="1"/>
  <c r="AQ52" i="16" s="1"/>
  <c r="Q52" i="17"/>
  <c r="AF52" i="17"/>
  <c r="AM70" i="17" s="1"/>
  <c r="AI52" i="16" s="1"/>
  <c r="AG38" i="19"/>
  <c r="Y71" i="16"/>
  <c r="AK71" i="16" s="1"/>
  <c r="AN71" i="16" s="1"/>
  <c r="AL71" i="16"/>
  <c r="AO71" i="16" s="1"/>
  <c r="AR71" i="16" s="1"/>
  <c r="Y65" i="16"/>
  <c r="AK65" i="16" s="1"/>
  <c r="AN65" i="16" s="1"/>
  <c r="AL65" i="16"/>
  <c r="AO65" i="16" s="1"/>
  <c r="AR65" i="16" s="1"/>
  <c r="Y62" i="17"/>
  <c r="Z62" i="17" s="1"/>
  <c r="AF24" i="17"/>
  <c r="AI24" i="16" s="1"/>
  <c r="Q24" i="17"/>
  <c r="W15" i="17"/>
  <c r="AH15" i="16" s="1"/>
  <c r="Q15" i="17"/>
  <c r="Y34" i="17"/>
  <c r="Z34" i="17" s="1"/>
  <c r="AC34" i="16" s="1"/>
  <c r="AL34" i="16" s="1"/>
  <c r="Y30" i="17"/>
  <c r="Z30" i="17" s="1"/>
  <c r="AC30" i="16" s="1"/>
  <c r="AL30" i="16" s="1"/>
  <c r="Y67" i="17"/>
  <c r="Z67" i="17" s="1"/>
  <c r="AF53" i="17"/>
  <c r="AM71" i="17" s="1"/>
  <c r="AI53" i="16" s="1"/>
  <c r="AJ67" i="17"/>
  <c r="AB49" i="16" s="1"/>
  <c r="AM67" i="17"/>
  <c r="AI49" i="16" s="1"/>
  <c r="AL67" i="17"/>
  <c r="AH49" i="16" s="1"/>
  <c r="Q49" i="17"/>
  <c r="AC49" i="17"/>
  <c r="Q41" i="17"/>
  <c r="AL11" i="16"/>
  <c r="AK6" i="16"/>
  <c r="AN6" i="16" s="1"/>
  <c r="AQ6" i="16" s="1"/>
  <c r="AB6" i="19" s="1"/>
  <c r="Z6" i="16"/>
  <c r="AA81" i="19"/>
  <c r="AA95" i="19" s="1"/>
  <c r="AP90" i="16"/>
  <c r="W31" i="17"/>
  <c r="Z15" i="17"/>
  <c r="AI15" i="16" s="1"/>
  <c r="J72" i="16"/>
  <c r="S72" i="16" s="1"/>
  <c r="AK49" i="16"/>
  <c r="D41" i="18"/>
  <c r="AF45" i="17"/>
  <c r="AM63" i="17" s="1"/>
  <c r="AI45" i="16" s="1"/>
  <c r="K29" i="17"/>
  <c r="AE29" i="16" s="1"/>
  <c r="AF29" i="16" s="1"/>
  <c r="AU29" i="16" s="1"/>
  <c r="D47" i="18" s="1"/>
  <c r="H47" i="18" s="1"/>
  <c r="D88" i="21"/>
  <c r="E106" i="16"/>
  <c r="H88" i="16"/>
  <c r="K88" i="16" s="1"/>
  <c r="D84" i="21"/>
  <c r="E102" i="16"/>
  <c r="H84" i="16"/>
  <c r="K84" i="16" s="1"/>
  <c r="C16" i="22"/>
  <c r="F16" i="22" s="1"/>
  <c r="Q16" i="16"/>
  <c r="Q18" i="16" s="1"/>
  <c r="N32" i="19"/>
  <c r="E49" i="18"/>
  <c r="AC23" i="17"/>
  <c r="AH23" i="16" s="1"/>
  <c r="AN23" i="16" s="1"/>
  <c r="AQ23" i="16" s="1"/>
  <c r="AO98" i="16"/>
  <c r="H28" i="25" s="1"/>
  <c r="AR66" i="16"/>
  <c r="S54" i="16"/>
  <c r="N50" i="19"/>
  <c r="E66" i="18"/>
  <c r="W45" i="17"/>
  <c r="W41" i="17"/>
  <c r="AR46" i="16"/>
  <c r="N107" i="19"/>
  <c r="E120" i="18"/>
  <c r="N15" i="19"/>
  <c r="E33" i="18"/>
  <c r="P113" i="14"/>
  <c r="P114" i="14" s="1"/>
  <c r="P94" i="14"/>
  <c r="P62" i="14"/>
  <c r="P76" i="14" s="1"/>
  <c r="R57" i="14"/>
  <c r="AK35" i="16"/>
  <c r="AN35" i="16" s="1"/>
  <c r="AQ35" i="16" s="1"/>
  <c r="AB36" i="19" s="1"/>
  <c r="AU16" i="16"/>
  <c r="D34" i="18" s="1"/>
  <c r="H34" i="18" s="1"/>
  <c r="N88" i="19"/>
  <c r="E102" i="18"/>
  <c r="N110" i="19"/>
  <c r="E123" i="18"/>
  <c r="S36" i="16"/>
  <c r="N93" i="19"/>
  <c r="E107" i="18"/>
  <c r="M5" i="19"/>
  <c r="M19" i="19" s="1"/>
  <c r="S19" i="14"/>
  <c r="Y54" i="14"/>
  <c r="D7" i="15"/>
  <c r="E6" i="15"/>
  <c r="O94" i="14"/>
  <c r="O113" i="14"/>
  <c r="F42" i="21"/>
  <c r="F54" i="21" s="1"/>
  <c r="O82" i="14"/>
  <c r="F78" i="21" s="1"/>
  <c r="O101" i="14"/>
  <c r="F96" i="21" s="1"/>
  <c r="F23" i="21"/>
  <c r="F36" i="21" s="1"/>
  <c r="W38" i="14"/>
  <c r="R19" i="14"/>
  <c r="N49" i="19"/>
  <c r="E65" i="18"/>
  <c r="S48" i="14"/>
  <c r="M48" i="19" s="1"/>
  <c r="V48" i="19" s="1"/>
  <c r="AE48" i="19" s="1"/>
  <c r="S53" i="14"/>
  <c r="M53" i="19" s="1"/>
  <c r="S49" i="14"/>
  <c r="M49" i="19" s="1"/>
  <c r="F77" i="21"/>
  <c r="J206" i="13"/>
  <c r="I206" i="13"/>
  <c r="J197" i="13"/>
  <c r="I197" i="13"/>
  <c r="I187" i="13"/>
  <c r="J187" i="13"/>
  <c r="J154" i="13"/>
  <c r="I154" i="13"/>
  <c r="J5" i="19"/>
  <c r="J19" i="19" s="1"/>
  <c r="D19" i="12"/>
  <c r="AK39" i="12"/>
  <c r="BH21" i="10"/>
  <c r="BQ39" i="8"/>
  <c r="T21" i="10"/>
  <c r="R39" i="8"/>
  <c r="AN20" i="10"/>
  <c r="AQ38" i="8"/>
  <c r="BH19" i="10"/>
  <c r="BQ37" i="8"/>
  <c r="T19" i="10"/>
  <c r="R37" i="8"/>
  <c r="AN18" i="10"/>
  <c r="AQ36" i="8"/>
  <c r="BH17" i="10"/>
  <c r="BQ35" i="8"/>
  <c r="R35" i="8"/>
  <c r="AQ34" i="8"/>
  <c r="BQ33" i="8"/>
  <c r="R33" i="8"/>
  <c r="AQ32" i="8"/>
  <c r="BQ31" i="8"/>
  <c r="T13" i="10"/>
  <c r="R31" i="8"/>
  <c r="AQ30" i="8"/>
  <c r="BH11" i="10"/>
  <c r="BQ29" i="8"/>
  <c r="T11" i="10"/>
  <c r="R29" i="8"/>
  <c r="AN10" i="10"/>
  <c r="AQ28" i="8"/>
  <c r="BQ27" i="8"/>
  <c r="BQ40" i="8" s="1"/>
  <c r="J89" i="13"/>
  <c r="I89" i="13"/>
  <c r="K89" i="13" s="1"/>
  <c r="P89" i="13" s="1"/>
  <c r="AL12" i="10"/>
  <c r="W31" i="9" s="1"/>
  <c r="BF9" i="10"/>
  <c r="AI28" i="9" s="1"/>
  <c r="P22" i="10"/>
  <c r="R23" i="8"/>
  <c r="R40" i="8" s="1"/>
  <c r="I30" i="9"/>
  <c r="H30" i="9"/>
  <c r="E11" i="9" s="1"/>
  <c r="E11" i="19" s="1"/>
  <c r="BG22" i="10"/>
  <c r="AM22" i="10"/>
  <c r="L48" i="9"/>
  <c r="O48" i="9" s="1"/>
  <c r="N48" i="9"/>
  <c r="G7" i="9" s="1"/>
  <c r="D26" i="19" s="1"/>
  <c r="V26" i="19" s="1"/>
  <c r="AE26" i="19" s="1"/>
  <c r="AU47" i="8"/>
  <c r="BG47" i="8"/>
  <c r="I288" i="13"/>
  <c r="K288" i="13" s="1"/>
  <c r="P288" i="13" s="1"/>
  <c r="J288" i="13"/>
  <c r="I284" i="13"/>
  <c r="K284" i="13" s="1"/>
  <c r="P284" i="13" s="1"/>
  <c r="J284" i="13"/>
  <c r="E280" i="13"/>
  <c r="G280" i="13" s="1"/>
  <c r="D300" i="7"/>
  <c r="J281" i="7"/>
  <c r="L281" i="7" s="1"/>
  <c r="E276" i="13"/>
  <c r="G276" i="13" s="1"/>
  <c r="D296" i="7"/>
  <c r="J277" i="7"/>
  <c r="L277" i="7" s="1"/>
  <c r="E272" i="13"/>
  <c r="D292" i="7"/>
  <c r="D290" i="7"/>
  <c r="A36" i="18" s="1"/>
  <c r="F36" i="18" s="1"/>
  <c r="F37" i="18" s="1"/>
  <c r="J273" i="7"/>
  <c r="R17" i="10"/>
  <c r="K36" i="9" s="1"/>
  <c r="AL16" i="10"/>
  <c r="W35" i="9" s="1"/>
  <c r="BF15" i="10"/>
  <c r="AI34" i="9" s="1"/>
  <c r="R15" i="10"/>
  <c r="K34" i="9" s="1"/>
  <c r="AL14" i="10"/>
  <c r="W33" i="9" s="1"/>
  <c r="BF13" i="10"/>
  <c r="AI32" i="9" s="1"/>
  <c r="R12" i="10"/>
  <c r="K31" i="9" s="1"/>
  <c r="BF22" i="10"/>
  <c r="AI24" i="9"/>
  <c r="R5" i="10"/>
  <c r="AI38" i="12"/>
  <c r="S18" i="12" s="1"/>
  <c r="AV21" i="10"/>
  <c r="AC40" i="9" s="1"/>
  <c r="H21" i="10"/>
  <c r="E40" i="9" s="1"/>
  <c r="F40" i="9" s="1"/>
  <c r="AB20" i="10"/>
  <c r="Q39" i="9" s="1"/>
  <c r="AV19" i="10"/>
  <c r="AC38" i="9" s="1"/>
  <c r="H19" i="10"/>
  <c r="E38" i="9" s="1"/>
  <c r="F38" i="9" s="1"/>
  <c r="AB18" i="10"/>
  <c r="Q37" i="9" s="1"/>
  <c r="AB13" i="10"/>
  <c r="Q32" i="9" s="1"/>
  <c r="AV10" i="10"/>
  <c r="AC29" i="9" s="1"/>
  <c r="N58" i="9"/>
  <c r="G17" i="9" s="1"/>
  <c r="D36" i="19" s="1"/>
  <c r="V36" i="19" s="1"/>
  <c r="AE36" i="19" s="1"/>
  <c r="L58" i="9"/>
  <c r="O58" i="9" s="1"/>
  <c r="K52" i="8"/>
  <c r="F13" i="8"/>
  <c r="H13" i="8" s="1"/>
  <c r="G13" i="19" s="1"/>
  <c r="AU49" i="8"/>
  <c r="BG49" i="8"/>
  <c r="S6" i="8"/>
  <c r="U6" i="8" s="1"/>
  <c r="G25" i="19" s="1"/>
  <c r="V25" i="19" s="1"/>
  <c r="AE25" i="19" s="1"/>
  <c r="X45" i="8"/>
  <c r="M287" i="13"/>
  <c r="O287" i="13" s="1"/>
  <c r="R288" i="7"/>
  <c r="T288" i="7" s="1"/>
  <c r="M283" i="13"/>
  <c r="O283" i="13" s="1"/>
  <c r="R284" i="7"/>
  <c r="T284" i="7" s="1"/>
  <c r="F269" i="13"/>
  <c r="G269" i="13" s="1"/>
  <c r="J270" i="7"/>
  <c r="L270" i="7" s="1"/>
  <c r="Z25" i="9"/>
  <c r="N6" i="9" s="1"/>
  <c r="E63" i="19" s="1"/>
  <c r="X25" i="9"/>
  <c r="AA25" i="9" s="1"/>
  <c r="V59" i="8"/>
  <c r="X59" i="8" s="1"/>
  <c r="T59" i="8"/>
  <c r="AC59" i="8" s="1"/>
  <c r="BT54" i="8"/>
  <c r="AF12" i="8"/>
  <c r="AH12" i="8" s="1"/>
  <c r="G50" i="19" s="1"/>
  <c r="V50" i="19" s="1"/>
  <c r="AE50" i="19" s="1"/>
  <c r="AK51" i="8"/>
  <c r="F11" i="8"/>
  <c r="H11" i="8" s="1"/>
  <c r="G11" i="19" s="1"/>
  <c r="K50" i="8"/>
  <c r="BT37" i="8"/>
  <c r="BT35" i="8"/>
  <c r="I258" i="13"/>
  <c r="K258" i="13" s="1"/>
  <c r="P258" i="13" s="1"/>
  <c r="J258" i="13"/>
  <c r="F254" i="13"/>
  <c r="G254" i="13" s="1"/>
  <c r="J255" i="7"/>
  <c r="L255" i="7" s="1"/>
  <c r="F260" i="13"/>
  <c r="G260" i="13" s="1"/>
  <c r="J261" i="7"/>
  <c r="L261" i="7" s="1"/>
  <c r="F266" i="13"/>
  <c r="G266" i="13" s="1"/>
  <c r="J267" i="7"/>
  <c r="L267" i="7" s="1"/>
  <c r="M201" i="13"/>
  <c r="O201" i="13" s="1"/>
  <c r="R202" i="7"/>
  <c r="T202" i="7" s="1"/>
  <c r="V12" i="19"/>
  <c r="AE12" i="19" s="1"/>
  <c r="BT56" i="8"/>
  <c r="AS13" i="8"/>
  <c r="AU13" i="8" s="1"/>
  <c r="G70" i="19" s="1"/>
  <c r="AW52" i="8"/>
  <c r="BI26" i="8"/>
  <c r="BJ8" i="8" s="1"/>
  <c r="BG8" i="8"/>
  <c r="BV47" i="8"/>
  <c r="BI25" i="8"/>
  <c r="BJ7" i="8" s="1"/>
  <c r="BG7" i="8"/>
  <c r="BV46" i="8"/>
  <c r="BV45" i="8"/>
  <c r="BI24" i="8"/>
  <c r="BJ6" i="8" s="1"/>
  <c r="BG6" i="8"/>
  <c r="BT27" i="8"/>
  <c r="AD270" i="13"/>
  <c r="BA16" i="10"/>
  <c r="AT242" i="7"/>
  <c r="AT241" i="13" s="1"/>
  <c r="AT237" i="7"/>
  <c r="AT236" i="13" s="1"/>
  <c r="AT250" i="7"/>
  <c r="AT249" i="13" s="1"/>
  <c r="AT248" i="7"/>
  <c r="AT247" i="13" s="1"/>
  <c r="AT246" i="7"/>
  <c r="AT245" i="13" s="1"/>
  <c r="AD55" i="9"/>
  <c r="AG55" i="9" s="1"/>
  <c r="BV55" i="8"/>
  <c r="BG16" i="8"/>
  <c r="BI34" i="8"/>
  <c r="BJ16" i="8" s="1"/>
  <c r="AW53" i="8"/>
  <c r="AS14" i="8"/>
  <c r="AU14" i="8" s="1"/>
  <c r="G71" i="19" s="1"/>
  <c r="AI48" i="8"/>
  <c r="BT46" i="8"/>
  <c r="BU46" i="8" s="1"/>
  <c r="BH46" i="8"/>
  <c r="AT19" i="8"/>
  <c r="BT29" i="8"/>
  <c r="F267" i="13"/>
  <c r="G267" i="13" s="1"/>
  <c r="J268" i="7"/>
  <c r="L268" i="7" s="1"/>
  <c r="F251" i="7"/>
  <c r="F247" i="7"/>
  <c r="AG10" i="10"/>
  <c r="AD136" i="7"/>
  <c r="AD135" i="13" s="1"/>
  <c r="AD132" i="7"/>
  <c r="AD131" i="13" s="1"/>
  <c r="AD128" i="7"/>
  <c r="AD127" i="13" s="1"/>
  <c r="AD124" i="7"/>
  <c r="AD123" i="13" s="1"/>
  <c r="AD134" i="7"/>
  <c r="AD133" i="13" s="1"/>
  <c r="AD130" i="7"/>
  <c r="AD129" i="13" s="1"/>
  <c r="AD126" i="7"/>
  <c r="AD125" i="13" s="1"/>
  <c r="AD122" i="7"/>
  <c r="AD121" i="13" s="1"/>
  <c r="K121" i="7"/>
  <c r="I138" i="7"/>
  <c r="AG8" i="10"/>
  <c r="AD79" i="7"/>
  <c r="AD78" i="13" s="1"/>
  <c r="AD75" i="7"/>
  <c r="AD74" i="13" s="1"/>
  <c r="AD71" i="7"/>
  <c r="AD70" i="13" s="1"/>
  <c r="AD67" i="7"/>
  <c r="AD66" i="13" s="1"/>
  <c r="AD77" i="7"/>
  <c r="AD76" i="13" s="1"/>
  <c r="AD73" i="7"/>
  <c r="AD72" i="13" s="1"/>
  <c r="AD69" i="7"/>
  <c r="AD68" i="13" s="1"/>
  <c r="AD65" i="7"/>
  <c r="AD64" i="13" s="1"/>
  <c r="K64" i="7"/>
  <c r="I81" i="7"/>
  <c r="AD51" i="9"/>
  <c r="AG51" i="9" s="1"/>
  <c r="BT58" i="8"/>
  <c r="AG58" i="8"/>
  <c r="AP58" i="8" s="1"/>
  <c r="BT55" i="8"/>
  <c r="BG15" i="8"/>
  <c r="BV54" i="8"/>
  <c r="BI33" i="8"/>
  <c r="BJ15" i="8" s="1"/>
  <c r="BT44" i="8"/>
  <c r="V270" i="13"/>
  <c r="AL243" i="7"/>
  <c r="AL242" i="13" s="1"/>
  <c r="F218" i="13"/>
  <c r="G218" i="13" s="1"/>
  <c r="J219" i="7"/>
  <c r="L219" i="7" s="1"/>
  <c r="F199" i="13"/>
  <c r="G199" i="13" s="1"/>
  <c r="J200" i="7"/>
  <c r="L200" i="7" s="1"/>
  <c r="F180" i="13"/>
  <c r="G180" i="13" s="1"/>
  <c r="J181" i="7"/>
  <c r="L181" i="7" s="1"/>
  <c r="F162" i="13"/>
  <c r="G162" i="13" s="1"/>
  <c r="J163" i="7"/>
  <c r="L163" i="7" s="1"/>
  <c r="F148" i="13"/>
  <c r="G148" i="13" s="1"/>
  <c r="J149" i="7"/>
  <c r="L149" i="7" s="1"/>
  <c r="F127" i="7"/>
  <c r="F83" i="13"/>
  <c r="G83" i="13" s="1"/>
  <c r="J84" i="7"/>
  <c r="L84" i="7" s="1"/>
  <c r="F70" i="7"/>
  <c r="F59" i="13"/>
  <c r="G59" i="13" s="1"/>
  <c r="J60" i="7"/>
  <c r="L60" i="7" s="1"/>
  <c r="AL239" i="7"/>
  <c r="AL238" i="13" s="1"/>
  <c r="M221" i="13"/>
  <c r="O221" i="13" s="1"/>
  <c r="R222" i="7"/>
  <c r="T222" i="7" s="1"/>
  <c r="AT232" i="13"/>
  <c r="Q216" i="7"/>
  <c r="K233" i="7"/>
  <c r="M191" i="13"/>
  <c r="O191" i="13" s="1"/>
  <c r="R191" i="13" s="1"/>
  <c r="R192" i="7"/>
  <c r="T192" i="7" s="1"/>
  <c r="M183" i="13"/>
  <c r="O183" i="13" s="1"/>
  <c r="R183" i="13" s="1"/>
  <c r="R184" i="7"/>
  <c r="T184" i="7" s="1"/>
  <c r="AT194" i="13"/>
  <c r="Q178" i="7"/>
  <c r="K195" i="7"/>
  <c r="F53" i="13"/>
  <c r="G53" i="13" s="1"/>
  <c r="J54" i="7"/>
  <c r="L54" i="7" s="1"/>
  <c r="M7" i="10"/>
  <c r="N61" i="7"/>
  <c r="N60" i="13" s="1"/>
  <c r="N57" i="7"/>
  <c r="N56" i="13" s="1"/>
  <c r="N53" i="7"/>
  <c r="N52" i="13" s="1"/>
  <c r="N59" i="7"/>
  <c r="N58" i="13" s="1"/>
  <c r="N55" i="7"/>
  <c r="N54" i="13" s="1"/>
  <c r="N51" i="7"/>
  <c r="N50" i="13" s="1"/>
  <c r="N49" i="7"/>
  <c r="N48" i="13" s="1"/>
  <c r="N47" i="7"/>
  <c r="N46" i="13" s="1"/>
  <c r="N45" i="7"/>
  <c r="N44" i="13" s="1"/>
  <c r="AT239" i="7"/>
  <c r="AT238" i="13" s="1"/>
  <c r="F238" i="7"/>
  <c r="AD235" i="7"/>
  <c r="AD234" i="13" s="1"/>
  <c r="AL213" i="13"/>
  <c r="F207" i="13"/>
  <c r="G207" i="13" s="1"/>
  <c r="J208" i="7"/>
  <c r="L208" i="7" s="1"/>
  <c r="F151" i="13"/>
  <c r="G151" i="13" s="1"/>
  <c r="J152" i="7"/>
  <c r="L152" i="7" s="1"/>
  <c r="F149" i="13"/>
  <c r="G149" i="13" s="1"/>
  <c r="J150" i="7"/>
  <c r="L150" i="7" s="1"/>
  <c r="V137" i="7"/>
  <c r="V136" i="13" s="1"/>
  <c r="AL133" i="7"/>
  <c r="AL132" i="13" s="1"/>
  <c r="V131" i="7"/>
  <c r="V130" i="13" s="1"/>
  <c r="AL127" i="7"/>
  <c r="AL126" i="13" s="1"/>
  <c r="F125" i="7"/>
  <c r="V121" i="7"/>
  <c r="V120" i="13" s="1"/>
  <c r="F94" i="13"/>
  <c r="G94" i="13" s="1"/>
  <c r="J95" i="7"/>
  <c r="L95" i="7" s="1"/>
  <c r="F92" i="13"/>
  <c r="G92" i="13" s="1"/>
  <c r="J93" i="7"/>
  <c r="L93" i="7" s="1"/>
  <c r="V80" i="7"/>
  <c r="V79" i="13" s="1"/>
  <c r="AL76" i="7"/>
  <c r="AL75" i="13" s="1"/>
  <c r="V74" i="7"/>
  <c r="V73" i="13" s="1"/>
  <c r="AL70" i="7"/>
  <c r="AL69" i="13" s="1"/>
  <c r="F68" i="7"/>
  <c r="V64" i="7"/>
  <c r="V63" i="13" s="1"/>
  <c r="F48" i="13"/>
  <c r="G48" i="13" s="1"/>
  <c r="J49" i="7"/>
  <c r="L49" i="7" s="1"/>
  <c r="AL61" i="13"/>
  <c r="F41" i="13"/>
  <c r="G41" i="13" s="1"/>
  <c r="J42" i="7"/>
  <c r="L42" i="7" s="1"/>
  <c r="BA5" i="10"/>
  <c r="BA22" i="10" s="1"/>
  <c r="AT23" i="7"/>
  <c r="AT19" i="7"/>
  <c r="AT11" i="7"/>
  <c r="AT17" i="7"/>
  <c r="AT9" i="7"/>
  <c r="AT21" i="7"/>
  <c r="AT13" i="7"/>
  <c r="AT15" i="7"/>
  <c r="AT7" i="7"/>
  <c r="M5" i="10"/>
  <c r="N23" i="7"/>
  <c r="N19" i="7"/>
  <c r="N17" i="7"/>
  <c r="N9" i="7"/>
  <c r="N21" i="7"/>
  <c r="N13" i="7"/>
  <c r="N15" i="7"/>
  <c r="N11" i="7"/>
  <c r="N7" i="7"/>
  <c r="AT20" i="7"/>
  <c r="N20" i="7"/>
  <c r="AD16" i="7"/>
  <c r="AT12" i="7"/>
  <c r="N12" i="7"/>
  <c r="AD8" i="7"/>
  <c r="AS309" i="7"/>
  <c r="M309" i="7"/>
  <c r="AL244" i="7"/>
  <c r="AL243" i="13" s="1"/>
  <c r="AL235" i="7"/>
  <c r="AL234" i="13" s="1"/>
  <c r="AL251" i="13" s="1"/>
  <c r="AT58" i="7"/>
  <c r="AT57" i="13" s="1"/>
  <c r="AD56" i="7"/>
  <c r="AD55" i="13" s="1"/>
  <c r="N54" i="7"/>
  <c r="N53" i="13" s="1"/>
  <c r="AT50" i="7"/>
  <c r="AT49" i="13" s="1"/>
  <c r="N50" i="7"/>
  <c r="N49" i="13" s="1"/>
  <c r="AD48" i="7"/>
  <c r="AD47" i="13" s="1"/>
  <c r="AT46" i="7"/>
  <c r="AT45" i="13" s="1"/>
  <c r="N46" i="7"/>
  <c r="N45" i="13" s="1"/>
  <c r="F50" i="13"/>
  <c r="G50" i="13" s="1"/>
  <c r="J51" i="7"/>
  <c r="L51" i="7" s="1"/>
  <c r="F56" i="13"/>
  <c r="G56" i="13" s="1"/>
  <c r="J57" i="7"/>
  <c r="L57" i="7" s="1"/>
  <c r="N244" i="7"/>
  <c r="N243" i="13" s="1"/>
  <c r="AD241" i="7"/>
  <c r="AD240" i="13" s="1"/>
  <c r="AT238" i="7"/>
  <c r="AT237" i="13" s="1"/>
  <c r="Q235" i="7"/>
  <c r="K252" i="7"/>
  <c r="F222" i="13"/>
  <c r="G222" i="13" s="1"/>
  <c r="J223" i="7"/>
  <c r="L223" i="7" s="1"/>
  <c r="F219" i="13"/>
  <c r="G219" i="13" s="1"/>
  <c r="J220" i="7"/>
  <c r="L220" i="7" s="1"/>
  <c r="F192" i="13"/>
  <c r="G192" i="13" s="1"/>
  <c r="J193" i="7"/>
  <c r="L193" i="7" s="1"/>
  <c r="F186" i="13"/>
  <c r="G186" i="13" s="1"/>
  <c r="J187" i="7"/>
  <c r="L187" i="7" s="1"/>
  <c r="F168" i="13"/>
  <c r="G168" i="13" s="1"/>
  <c r="J169" i="7"/>
  <c r="L169" i="7" s="1"/>
  <c r="F173" i="13"/>
  <c r="G173" i="13" s="1"/>
  <c r="J174" i="7"/>
  <c r="L174" i="7" s="1"/>
  <c r="F171" i="13"/>
  <c r="G171" i="13" s="1"/>
  <c r="J172" i="7"/>
  <c r="L172" i="7" s="1"/>
  <c r="AT137" i="7"/>
  <c r="AT136" i="13" s="1"/>
  <c r="AD135" i="7"/>
  <c r="AD134" i="13" s="1"/>
  <c r="N133" i="7"/>
  <c r="N132" i="13" s="1"/>
  <c r="AT129" i="7"/>
  <c r="AT128" i="13" s="1"/>
  <c r="AD127" i="7"/>
  <c r="AD126" i="13" s="1"/>
  <c r="N125" i="7"/>
  <c r="N124" i="13" s="1"/>
  <c r="AT121" i="7"/>
  <c r="AT120" i="13" s="1"/>
  <c r="AT137" i="13" s="1"/>
  <c r="AT78" i="7"/>
  <c r="AT77" i="13" s="1"/>
  <c r="AD76" i="7"/>
  <c r="AD75" i="13" s="1"/>
  <c r="N74" i="7"/>
  <c r="N73" i="13" s="1"/>
  <c r="AT70" i="7"/>
  <c r="AT69" i="13" s="1"/>
  <c r="AD68" i="7"/>
  <c r="AD67" i="13" s="1"/>
  <c r="N66" i="7"/>
  <c r="N65" i="13" s="1"/>
  <c r="I62" i="7"/>
  <c r="K45" i="7"/>
  <c r="F35" i="13"/>
  <c r="G35" i="13" s="1"/>
  <c r="J36" i="7"/>
  <c r="L36" i="7" s="1"/>
  <c r="AL22" i="7"/>
  <c r="F22" i="7"/>
  <c r="V18" i="7"/>
  <c r="AL14" i="7"/>
  <c r="F14" i="7"/>
  <c r="V10" i="7"/>
  <c r="X292" i="7"/>
  <c r="X309" i="7" s="1"/>
  <c r="W309" i="7"/>
  <c r="D20" i="5"/>
  <c r="C42" i="5"/>
  <c r="C44" i="5" s="1"/>
  <c r="E15" i="3"/>
  <c r="E16" i="3" s="1"/>
  <c r="D17" i="3"/>
  <c r="AT38" i="7"/>
  <c r="AT37" i="13" s="1"/>
  <c r="N34" i="7"/>
  <c r="N33" i="13" s="1"/>
  <c r="AT30" i="7"/>
  <c r="AT29" i="13" s="1"/>
  <c r="N26" i="7"/>
  <c r="N25" i="13" s="1"/>
  <c r="N42" i="13" s="1"/>
  <c r="V30" i="7"/>
  <c r="V29" i="13" s="1"/>
  <c r="F30" i="13"/>
  <c r="G30" i="13" s="1"/>
  <c r="J31" i="7"/>
  <c r="L31" i="7" s="1"/>
  <c r="F32" i="13"/>
  <c r="G32" i="13" s="1"/>
  <c r="J33" i="7"/>
  <c r="L33" i="7" s="1"/>
  <c r="C42" i="4"/>
  <c r="C44" i="4" s="1"/>
  <c r="C28" i="4" s="1"/>
  <c r="C29" i="4" s="1"/>
  <c r="D20" i="4"/>
  <c r="V40" i="7"/>
  <c r="V39" i="13" s="1"/>
  <c r="F33" i="13"/>
  <c r="G33" i="13" s="1"/>
  <c r="J34" i="7"/>
  <c r="L34" i="7" s="1"/>
  <c r="C34" i="3"/>
  <c r="C20" i="3" s="1"/>
  <c r="C21" i="3" s="1"/>
  <c r="F32" i="3"/>
  <c r="E32" i="3"/>
  <c r="H32" i="3"/>
  <c r="D32" i="3"/>
  <c r="G32" i="3"/>
  <c r="K182" i="13" l="1"/>
  <c r="P182" i="13" s="1"/>
  <c r="K187" i="13"/>
  <c r="P187" i="13" s="1"/>
  <c r="D19" i="3"/>
  <c r="C22" i="3"/>
  <c r="C24" i="3" s="1"/>
  <c r="AC57" i="8"/>
  <c r="V57" i="8"/>
  <c r="T61" i="8"/>
  <c r="AK62" i="17"/>
  <c r="AC44" i="16" s="1"/>
  <c r="AL44" i="16" s="1"/>
  <c r="AO44" i="16" s="1"/>
  <c r="AT30" i="16"/>
  <c r="AO30" i="16"/>
  <c r="G30" i="22" s="1"/>
  <c r="T24" i="14"/>
  <c r="O25" i="15"/>
  <c r="AT32" i="16"/>
  <c r="AO32" i="16"/>
  <c r="G32" i="22" s="1"/>
  <c r="Z45" i="16"/>
  <c r="AK45" i="16"/>
  <c r="AN45" i="16" s="1"/>
  <c r="AQ45" i="16" s="1"/>
  <c r="D26" i="4"/>
  <c r="C30" i="4"/>
  <c r="C32" i="4" s="1"/>
  <c r="AT34" i="16"/>
  <c r="AO34" i="16"/>
  <c r="G34" i="22" s="1"/>
  <c r="AC74" i="19"/>
  <c r="AT71" i="16"/>
  <c r="AU71" i="16"/>
  <c r="D89" i="18" s="1"/>
  <c r="H89" i="18" s="1"/>
  <c r="AY71" i="16"/>
  <c r="AC65" i="19"/>
  <c r="AT62" i="16"/>
  <c r="AY62" i="16"/>
  <c r="AU62" i="16"/>
  <c r="D80" i="18" s="1"/>
  <c r="H80" i="18" s="1"/>
  <c r="AG28" i="9"/>
  <c r="AF28" i="9"/>
  <c r="Q9" i="9" s="1"/>
  <c r="E85" i="19" s="1"/>
  <c r="AT7" i="16"/>
  <c r="AO7" i="16"/>
  <c r="BC48" i="8"/>
  <c r="AU48" i="8"/>
  <c r="AO53" i="16"/>
  <c r="AT9" i="16"/>
  <c r="AO9" i="16"/>
  <c r="AT23" i="16"/>
  <c r="AO23" i="16"/>
  <c r="G51" i="22"/>
  <c r="H51" i="22" s="1"/>
  <c r="AR51" i="16"/>
  <c r="AT13" i="16"/>
  <c r="AO13" i="16"/>
  <c r="AT25" i="16"/>
  <c r="AO25" i="16"/>
  <c r="AK67" i="17"/>
  <c r="AC49" i="16" s="1"/>
  <c r="AL49" i="16" s="1"/>
  <c r="AO49" i="16" s="1"/>
  <c r="F21" i="13"/>
  <c r="G21" i="13" s="1"/>
  <c r="F307" i="7"/>
  <c r="J307" i="7" s="1"/>
  <c r="L307" i="7" s="1"/>
  <c r="J22" i="7"/>
  <c r="L22" i="7" s="1"/>
  <c r="Q45" i="7"/>
  <c r="K62" i="7"/>
  <c r="J171" i="13"/>
  <c r="I171" i="13"/>
  <c r="K171" i="13" s="1"/>
  <c r="P171" i="13" s="1"/>
  <c r="J192" i="13"/>
  <c r="I192" i="13"/>
  <c r="M50" i="13"/>
  <c r="O50" i="13" s="1"/>
  <c r="R51" i="7"/>
  <c r="T51" i="7" s="1"/>
  <c r="AT11" i="13"/>
  <c r="AT297" i="7"/>
  <c r="N20" i="13"/>
  <c r="N306" i="7"/>
  <c r="AT12" i="13"/>
  <c r="AT298" i="7"/>
  <c r="AT10" i="13"/>
  <c r="AT296" i="7"/>
  <c r="I48" i="13"/>
  <c r="K48" i="13" s="1"/>
  <c r="P48" i="13" s="1"/>
  <c r="J48" i="13"/>
  <c r="J92" i="13"/>
  <c r="I92" i="13"/>
  <c r="K92" i="13" s="1"/>
  <c r="P92" i="13" s="1"/>
  <c r="AD251" i="13"/>
  <c r="Q195" i="7"/>
  <c r="S178" i="7"/>
  <c r="M59" i="13"/>
  <c r="O59" i="13" s="1"/>
  <c r="R60" i="7"/>
  <c r="T60" i="7" s="1"/>
  <c r="M162" i="13"/>
  <c r="O162" i="13" s="1"/>
  <c r="R163" i="7"/>
  <c r="T163" i="7" s="1"/>
  <c r="F250" i="13"/>
  <c r="G250" i="13" s="1"/>
  <c r="J251" i="7"/>
  <c r="L251" i="7" s="1"/>
  <c r="AK48" i="8"/>
  <c r="AF9" i="8"/>
  <c r="AH9" i="8" s="1"/>
  <c r="G47" i="19" s="1"/>
  <c r="BV25" i="8"/>
  <c r="BW7" i="8" s="1"/>
  <c r="BT7" i="8"/>
  <c r="Q258" i="13"/>
  <c r="R22" i="10"/>
  <c r="K24" i="9"/>
  <c r="K41" i="9" s="1"/>
  <c r="I280" i="13"/>
  <c r="K280" i="13" s="1"/>
  <c r="P280" i="13" s="1"/>
  <c r="J280" i="13"/>
  <c r="Q89" i="13"/>
  <c r="N54" i="19"/>
  <c r="E70" i="18"/>
  <c r="D34" i="3"/>
  <c r="D20" i="3" s="1"/>
  <c r="D22" i="4"/>
  <c r="E20" i="4" s="1"/>
  <c r="M30" i="13"/>
  <c r="O30" i="13" s="1"/>
  <c r="R31" i="7"/>
  <c r="T31" i="7" s="1"/>
  <c r="D42" i="5"/>
  <c r="D44" i="5" s="1"/>
  <c r="D22" i="5"/>
  <c r="E20" i="5" s="1"/>
  <c r="F13" i="13"/>
  <c r="G13" i="13" s="1"/>
  <c r="F299" i="7"/>
  <c r="J14" i="7"/>
  <c r="L14" i="7" s="1"/>
  <c r="AL21" i="13"/>
  <c r="AL307" i="7"/>
  <c r="M173" i="13"/>
  <c r="O173" i="13" s="1"/>
  <c r="R174" i="7"/>
  <c r="T174" i="7" s="1"/>
  <c r="M186" i="13"/>
  <c r="O186" i="13" s="1"/>
  <c r="R187" i="7"/>
  <c r="T187" i="7" s="1"/>
  <c r="M219" i="13"/>
  <c r="O219" i="13" s="1"/>
  <c r="R220" i="7"/>
  <c r="T220" i="7" s="1"/>
  <c r="J50" i="13"/>
  <c r="I50" i="13"/>
  <c r="AD15" i="13"/>
  <c r="AD301" i="7"/>
  <c r="N10" i="13"/>
  <c r="N296" i="7"/>
  <c r="N8" i="13"/>
  <c r="N294" i="7"/>
  <c r="M22" i="10"/>
  <c r="AT20" i="13"/>
  <c r="AT306" i="7"/>
  <c r="AT18" i="13"/>
  <c r="AT304" i="7"/>
  <c r="J41" i="13"/>
  <c r="I41" i="13"/>
  <c r="K41" i="13" s="1"/>
  <c r="P41" i="13" s="1"/>
  <c r="V80" i="13"/>
  <c r="M94" i="13"/>
  <c r="O94" i="13" s="1"/>
  <c r="R95" i="7"/>
  <c r="T95" i="7" s="1"/>
  <c r="M149" i="13"/>
  <c r="O149" i="13" s="1"/>
  <c r="R150" i="7"/>
  <c r="T150" i="7" s="1"/>
  <c r="M207" i="13"/>
  <c r="O207" i="13" s="1"/>
  <c r="R208" i="7"/>
  <c r="T208" i="7" s="1"/>
  <c r="F237" i="13"/>
  <c r="G237" i="13" s="1"/>
  <c r="J238" i="7"/>
  <c r="L238" i="7" s="1"/>
  <c r="M53" i="13"/>
  <c r="O53" i="13" s="1"/>
  <c r="R54" i="7"/>
  <c r="T54" i="7" s="1"/>
  <c r="U221" i="13"/>
  <c r="W221" i="13" s="1"/>
  <c r="Z222" i="7"/>
  <c r="AB222" i="7" s="1"/>
  <c r="J59" i="13"/>
  <c r="I59" i="13"/>
  <c r="F126" i="13"/>
  <c r="G126" i="13" s="1"/>
  <c r="J127" i="7"/>
  <c r="L127" i="7" s="1"/>
  <c r="I162" i="13"/>
  <c r="K162" i="13" s="1"/>
  <c r="P162" i="13" s="1"/>
  <c r="J162" i="13"/>
  <c r="J199" i="13"/>
  <c r="I199" i="13"/>
  <c r="K199" i="13" s="1"/>
  <c r="P199" i="13" s="1"/>
  <c r="BT15" i="8"/>
  <c r="BV33" i="8"/>
  <c r="BW15" i="8" s="1"/>
  <c r="AI58" i="8"/>
  <c r="AK58" i="8" s="1"/>
  <c r="K138" i="7"/>
  <c r="Q121" i="7"/>
  <c r="M267" i="13"/>
  <c r="O267" i="13" s="1"/>
  <c r="R268" i="7"/>
  <c r="T268" i="7" s="1"/>
  <c r="BV34" i="8"/>
  <c r="BW16" i="8" s="1"/>
  <c r="BT16" i="8"/>
  <c r="M266" i="13"/>
  <c r="O266" i="13" s="1"/>
  <c r="R267" i="7"/>
  <c r="T267" i="7" s="1"/>
  <c r="M254" i="13"/>
  <c r="O254" i="13" s="1"/>
  <c r="R255" i="7"/>
  <c r="T255" i="7" s="1"/>
  <c r="M269" i="13"/>
  <c r="O269" i="13" s="1"/>
  <c r="R270" i="7"/>
  <c r="T270" i="7" s="1"/>
  <c r="U287" i="13"/>
  <c r="W287" i="13" s="1"/>
  <c r="Z288" i="7"/>
  <c r="AB288" i="7" s="1"/>
  <c r="BH49" i="8"/>
  <c r="BT49" i="8"/>
  <c r="BU49" i="8" s="1"/>
  <c r="R58" i="9"/>
  <c r="U58" i="9" s="1"/>
  <c r="I40" i="9"/>
  <c r="H40" i="9"/>
  <c r="AI41" i="9"/>
  <c r="D309" i="7"/>
  <c r="I276" i="13"/>
  <c r="K276" i="13" s="1"/>
  <c r="P276" i="13" s="1"/>
  <c r="J276" i="13"/>
  <c r="R48" i="9"/>
  <c r="U48" i="9" s="1"/>
  <c r="L30" i="9"/>
  <c r="O30" i="9" s="1"/>
  <c r="AN14" i="10"/>
  <c r="BH15" i="10"/>
  <c r="T17" i="10"/>
  <c r="K206" i="13"/>
  <c r="P206" i="13" s="1"/>
  <c r="AC69" i="19"/>
  <c r="AT66" i="16"/>
  <c r="AY66" i="16"/>
  <c r="AU66" i="16"/>
  <c r="D84" i="18" s="1"/>
  <c r="H84" i="18" s="1"/>
  <c r="Q88" i="16"/>
  <c r="AR88" i="16" s="1"/>
  <c r="AC92" i="19" s="1"/>
  <c r="AU88" i="16"/>
  <c r="D106" i="18" s="1"/>
  <c r="H106" i="18" s="1"/>
  <c r="AT88" i="16"/>
  <c r="AU36" i="16"/>
  <c r="M72" i="16"/>
  <c r="AL6" i="16"/>
  <c r="J29" i="13"/>
  <c r="I29" i="13"/>
  <c r="H34" i="9"/>
  <c r="E15" i="9" s="1"/>
  <c r="E15" i="19" s="1"/>
  <c r="M26" i="13"/>
  <c r="O26" i="13" s="1"/>
  <c r="R27" i="7"/>
  <c r="T27" i="7" s="1"/>
  <c r="D29" i="6"/>
  <c r="AD9" i="13"/>
  <c r="AD295" i="7"/>
  <c r="M39" i="13"/>
  <c r="O39" i="13" s="1"/>
  <c r="R40" i="7"/>
  <c r="T40" i="7" s="1"/>
  <c r="M169" i="13"/>
  <c r="O169" i="13" s="1"/>
  <c r="R170" i="7"/>
  <c r="T170" i="7" s="1"/>
  <c r="M188" i="13"/>
  <c r="O188" i="13" s="1"/>
  <c r="R189" i="7"/>
  <c r="T189" i="7" s="1"/>
  <c r="I228" i="13"/>
  <c r="J228" i="13"/>
  <c r="J217" i="13"/>
  <c r="I217" i="13"/>
  <c r="M52" i="13"/>
  <c r="O52" i="13" s="1"/>
  <c r="R53" i="7"/>
  <c r="T53" i="7" s="1"/>
  <c r="U85" i="13"/>
  <c r="W85" i="13" s="1"/>
  <c r="Z86" i="7"/>
  <c r="AB86" i="7" s="1"/>
  <c r="F15" i="13"/>
  <c r="G15" i="13" s="1"/>
  <c r="F301" i="7"/>
  <c r="J16" i="7"/>
  <c r="L16" i="7" s="1"/>
  <c r="V14" i="13"/>
  <c r="V300" i="7"/>
  <c r="V16" i="13"/>
  <c r="V302" i="7"/>
  <c r="W22" i="10"/>
  <c r="J46" i="13"/>
  <c r="I46" i="13"/>
  <c r="J88" i="13"/>
  <c r="I88" i="13"/>
  <c r="AL137" i="13"/>
  <c r="M147" i="13"/>
  <c r="O147" i="13" s="1"/>
  <c r="R148" i="7"/>
  <c r="T148" i="7" s="1"/>
  <c r="I200" i="13"/>
  <c r="K200" i="13" s="1"/>
  <c r="P200" i="13" s="1"/>
  <c r="J200" i="13"/>
  <c r="J231" i="13"/>
  <c r="I231" i="13"/>
  <c r="K231" i="13" s="1"/>
  <c r="P231" i="13" s="1"/>
  <c r="AD61" i="13"/>
  <c r="F130" i="13"/>
  <c r="G130" i="13" s="1"/>
  <c r="J131" i="7"/>
  <c r="L131" i="7" s="1"/>
  <c r="J152" i="13"/>
  <c r="I152" i="13"/>
  <c r="J185" i="13"/>
  <c r="I185" i="13"/>
  <c r="K185" i="13" s="1"/>
  <c r="P185" i="13" s="1"/>
  <c r="J223" i="13"/>
  <c r="I223" i="13"/>
  <c r="BV28" i="8"/>
  <c r="BW10" i="8" s="1"/>
  <c r="BT10" i="8"/>
  <c r="BV30" i="8"/>
  <c r="BW12" i="8" s="1"/>
  <c r="BT12" i="8"/>
  <c r="AS56" i="8"/>
  <c r="BC56" i="8" s="1"/>
  <c r="AU56" i="8"/>
  <c r="F72" i="13"/>
  <c r="G72" i="13" s="1"/>
  <c r="J73" i="7"/>
  <c r="L73" i="7" s="1"/>
  <c r="F74" i="13"/>
  <c r="G74" i="13" s="1"/>
  <c r="J75" i="7"/>
  <c r="L75" i="7" s="1"/>
  <c r="F121" i="13"/>
  <c r="G121" i="13" s="1"/>
  <c r="J122" i="7"/>
  <c r="L122" i="7" s="1"/>
  <c r="F123" i="13"/>
  <c r="G123" i="13" s="1"/>
  <c r="J124" i="7"/>
  <c r="L124" i="7" s="1"/>
  <c r="BJ5" i="8"/>
  <c r="BI40" i="8"/>
  <c r="BW53" i="8"/>
  <c r="BS14" i="8"/>
  <c r="BF13" i="8"/>
  <c r="BH13" i="8" s="1"/>
  <c r="G89" i="19" s="1"/>
  <c r="BJ52" i="8"/>
  <c r="AF27" i="9"/>
  <c r="Q8" i="9" s="1"/>
  <c r="E84" i="19" s="1"/>
  <c r="R258" i="13"/>
  <c r="BJ50" i="8"/>
  <c r="BF11" i="8"/>
  <c r="BH11" i="8" s="1"/>
  <c r="G87" i="19" s="1"/>
  <c r="BV31" i="8"/>
  <c r="BW13" i="8" s="1"/>
  <c r="BT13" i="8"/>
  <c r="U284" i="13"/>
  <c r="W284" i="13" s="1"/>
  <c r="Z285" i="7"/>
  <c r="AB285" i="7" s="1"/>
  <c r="BH45" i="8"/>
  <c r="BT45" i="8"/>
  <c r="BU45" i="8" s="1"/>
  <c r="R62" i="9"/>
  <c r="U62" i="9" s="1"/>
  <c r="M273" i="13"/>
  <c r="O273" i="13" s="1"/>
  <c r="R274" i="7"/>
  <c r="T274" i="7" s="1"/>
  <c r="J277" i="13"/>
  <c r="I277" i="13"/>
  <c r="K285" i="13"/>
  <c r="P285" i="13" s="1"/>
  <c r="BT34" i="8"/>
  <c r="AD11" i="10"/>
  <c r="J14" i="10"/>
  <c r="J22" i="10" s="1"/>
  <c r="AD15" i="10"/>
  <c r="AX16" i="10"/>
  <c r="K221" i="13"/>
  <c r="P221" i="13" s="1"/>
  <c r="Y6" i="14"/>
  <c r="AN29" i="16"/>
  <c r="AQ29" i="16" s="1"/>
  <c r="AB30" i="19" s="1"/>
  <c r="AC64" i="19"/>
  <c r="AT61" i="16"/>
  <c r="AY61" i="16"/>
  <c r="AU61" i="16"/>
  <c r="D79" i="18" s="1"/>
  <c r="H79" i="18" s="1"/>
  <c r="AC71" i="19"/>
  <c r="AT68" i="16"/>
  <c r="AU68" i="16"/>
  <c r="D86" i="18" s="1"/>
  <c r="H86" i="18" s="1"/>
  <c r="AY68" i="16"/>
  <c r="AU82" i="16"/>
  <c r="D100" i="18" s="1"/>
  <c r="H100" i="18" s="1"/>
  <c r="Q82" i="16"/>
  <c r="AR82" i="16" s="1"/>
  <c r="AC86" i="19" s="1"/>
  <c r="AT82" i="16"/>
  <c r="H30" i="22"/>
  <c r="Y29" i="17"/>
  <c r="Z29" i="17"/>
  <c r="AC29" i="16" s="1"/>
  <c r="AL29" i="16" s="1"/>
  <c r="C78" i="18"/>
  <c r="AV60" i="16"/>
  <c r="AC66" i="19"/>
  <c r="AT63" i="16"/>
  <c r="AU63" i="16"/>
  <c r="D81" i="18" s="1"/>
  <c r="H81" i="18" s="1"/>
  <c r="AY63" i="16"/>
  <c r="M38" i="13"/>
  <c r="O38" i="13" s="1"/>
  <c r="R39" i="7"/>
  <c r="T39" i="7" s="1"/>
  <c r="F9" i="13"/>
  <c r="G9" i="13" s="1"/>
  <c r="F295" i="7"/>
  <c r="J10" i="7"/>
  <c r="L10" i="7" s="1"/>
  <c r="V21" i="13"/>
  <c r="V307" i="7"/>
  <c r="AD80" i="13"/>
  <c r="M165" i="13"/>
  <c r="O165" i="13" s="1"/>
  <c r="R166" i="7"/>
  <c r="T166" i="7" s="1"/>
  <c r="M181" i="13"/>
  <c r="O181" i="13" s="1"/>
  <c r="R182" i="7"/>
  <c r="T182" i="7" s="1"/>
  <c r="M224" i="13"/>
  <c r="O224" i="13" s="1"/>
  <c r="R225" i="7"/>
  <c r="T225" i="7" s="1"/>
  <c r="AT251" i="13"/>
  <c r="I309" i="7"/>
  <c r="K292" i="7"/>
  <c r="N15" i="13"/>
  <c r="N301" i="7"/>
  <c r="AD14" i="13"/>
  <c r="AD300" i="7"/>
  <c r="AD20" i="13"/>
  <c r="AD306" i="7"/>
  <c r="AG22" i="10"/>
  <c r="M86" i="13"/>
  <c r="O86" i="13" s="1"/>
  <c r="R87" i="7"/>
  <c r="T87" i="7" s="1"/>
  <c r="J143" i="13"/>
  <c r="I143" i="13"/>
  <c r="F213" i="13"/>
  <c r="G196" i="13"/>
  <c r="F77" i="13"/>
  <c r="G77" i="13" s="1"/>
  <c r="J78" i="7"/>
  <c r="L78" i="7" s="1"/>
  <c r="M140" i="13"/>
  <c r="O140" i="13" s="1"/>
  <c r="R141" i="7"/>
  <c r="T141" i="7" s="1"/>
  <c r="M170" i="13"/>
  <c r="O170" i="13" s="1"/>
  <c r="R171" i="7"/>
  <c r="T171" i="7" s="1"/>
  <c r="M208" i="13"/>
  <c r="O208" i="13" s="1"/>
  <c r="R209" i="7"/>
  <c r="T209" i="7" s="1"/>
  <c r="J255" i="13"/>
  <c r="I255" i="13"/>
  <c r="D18" i="9"/>
  <c r="D18" i="19" s="1"/>
  <c r="V18" i="19" s="1"/>
  <c r="AE18" i="19" s="1"/>
  <c r="F248" i="13"/>
  <c r="G248" i="13" s="1"/>
  <c r="J249" i="7"/>
  <c r="L249" i="7" s="1"/>
  <c r="F247" i="13"/>
  <c r="G247" i="13" s="1"/>
  <c r="J248" i="7"/>
  <c r="L248" i="7" s="1"/>
  <c r="AF61" i="9"/>
  <c r="V13" i="19"/>
  <c r="AE13" i="19" s="1"/>
  <c r="J268" i="13"/>
  <c r="I268" i="13"/>
  <c r="K268" i="13" s="1"/>
  <c r="P268" i="13" s="1"/>
  <c r="Q290" i="7"/>
  <c r="S273" i="7"/>
  <c r="AE16" i="19"/>
  <c r="AE17" i="19"/>
  <c r="R285" i="13"/>
  <c r="H5" i="8"/>
  <c r="AL22" i="10"/>
  <c r="W24" i="9"/>
  <c r="W41" i="9" s="1"/>
  <c r="M278" i="13"/>
  <c r="O278" i="13" s="1"/>
  <c r="R279" i="7"/>
  <c r="T279" i="7" s="1"/>
  <c r="BD40" i="8"/>
  <c r="K118" i="13"/>
  <c r="AN15" i="16"/>
  <c r="AQ15" i="16" s="1"/>
  <c r="AB15" i="19" s="1"/>
  <c r="D104" i="21"/>
  <c r="H104" i="16"/>
  <c r="K104" i="16" s="1"/>
  <c r="Q83" i="16"/>
  <c r="AR83" i="16" s="1"/>
  <c r="AC87" i="19" s="1"/>
  <c r="AU83" i="16"/>
  <c r="D101" i="18" s="1"/>
  <c r="H101" i="18" s="1"/>
  <c r="AT83" i="16"/>
  <c r="D105" i="21"/>
  <c r="H105" i="16"/>
  <c r="K105" i="16" s="1"/>
  <c r="AN53" i="16"/>
  <c r="AQ53" i="16" s="1"/>
  <c r="V90" i="16"/>
  <c r="AD81" i="19"/>
  <c r="AD95" i="19" s="1"/>
  <c r="J36" i="13"/>
  <c r="I36" i="13"/>
  <c r="D48" i="2"/>
  <c r="D76" i="2" s="1"/>
  <c r="E24" i="2"/>
  <c r="E48" i="2" s="1"/>
  <c r="E76" i="2" s="1"/>
  <c r="N9" i="13"/>
  <c r="N295" i="7"/>
  <c r="AD21" i="13"/>
  <c r="AD307" i="7"/>
  <c r="M161" i="13"/>
  <c r="O161" i="13" s="1"/>
  <c r="R162" i="7"/>
  <c r="T162" i="7" s="1"/>
  <c r="M190" i="13"/>
  <c r="O190" i="13" s="1"/>
  <c r="R191" i="7"/>
  <c r="T191" i="7" s="1"/>
  <c r="M179" i="13"/>
  <c r="O179" i="13" s="1"/>
  <c r="R180" i="7"/>
  <c r="T180" i="7" s="1"/>
  <c r="J226" i="13"/>
  <c r="I226" i="13"/>
  <c r="J54" i="13"/>
  <c r="I54" i="13"/>
  <c r="J49" i="13"/>
  <c r="I49" i="13"/>
  <c r="U154" i="13"/>
  <c r="W154" i="13" s="1"/>
  <c r="Z155" i="7"/>
  <c r="AB155" i="7" s="1"/>
  <c r="AL11" i="13"/>
  <c r="AL297" i="7"/>
  <c r="F14" i="13"/>
  <c r="G14" i="13" s="1"/>
  <c r="F300" i="7"/>
  <c r="J15" i="7"/>
  <c r="L15" i="7" s="1"/>
  <c r="F12" i="13"/>
  <c r="G12" i="13" s="1"/>
  <c r="F298" i="7"/>
  <c r="J13" i="7"/>
  <c r="L13" i="7" s="1"/>
  <c r="F22" i="13"/>
  <c r="G22" i="13" s="1"/>
  <c r="F308" i="7"/>
  <c r="J308" i="7" s="1"/>
  <c r="L308" i="7" s="1"/>
  <c r="J23" i="7"/>
  <c r="L23" i="7" s="1"/>
  <c r="AL12" i="13"/>
  <c r="AL298" i="7"/>
  <c r="AL10" i="13"/>
  <c r="AL296" i="7"/>
  <c r="M96" i="13"/>
  <c r="O96" i="13" s="1"/>
  <c r="R97" i="7"/>
  <c r="T97" i="7" s="1"/>
  <c r="L83" i="7"/>
  <c r="J100" i="7"/>
  <c r="M153" i="13"/>
  <c r="O153" i="13" s="1"/>
  <c r="R154" i="7"/>
  <c r="T154" i="7" s="1"/>
  <c r="L140" i="7"/>
  <c r="J157" i="7"/>
  <c r="J205" i="13"/>
  <c r="I205" i="13"/>
  <c r="K205" i="13" s="1"/>
  <c r="P205" i="13" s="1"/>
  <c r="F238" i="13"/>
  <c r="G238" i="13" s="1"/>
  <c r="J239" i="7"/>
  <c r="L239" i="7" s="1"/>
  <c r="F122" i="13"/>
  <c r="G122" i="13" s="1"/>
  <c r="J123" i="7"/>
  <c r="L123" i="7" s="1"/>
  <c r="I174" i="13"/>
  <c r="J174" i="13"/>
  <c r="J212" i="13"/>
  <c r="I212" i="13"/>
  <c r="K212" i="13" s="1"/>
  <c r="P212" i="13" s="1"/>
  <c r="AJ26" i="9"/>
  <c r="AL26" i="9" s="1"/>
  <c r="T7" i="9" s="1"/>
  <c r="E102" i="19" s="1"/>
  <c r="AF49" i="9"/>
  <c r="P8" i="9" s="1"/>
  <c r="D84" i="19" s="1"/>
  <c r="R182" i="13"/>
  <c r="AJ53" i="9"/>
  <c r="AL53" i="9"/>
  <c r="S12" i="9" s="1"/>
  <c r="D107" i="19" s="1"/>
  <c r="U282" i="13"/>
  <c r="W282" i="13" s="1"/>
  <c r="Z283" i="7"/>
  <c r="AB283" i="7" s="1"/>
  <c r="R54" i="9"/>
  <c r="U54" i="9" s="1"/>
  <c r="T54" i="9"/>
  <c r="J13" i="9" s="1"/>
  <c r="D51" i="19" s="1"/>
  <c r="AV22" i="10"/>
  <c r="M275" i="13"/>
  <c r="O275" i="13" s="1"/>
  <c r="R276" i="7"/>
  <c r="T276" i="7" s="1"/>
  <c r="J299" i="7"/>
  <c r="L299" i="7" s="1"/>
  <c r="K287" i="13"/>
  <c r="P287" i="13" s="1"/>
  <c r="AH5" i="8"/>
  <c r="K257" i="13"/>
  <c r="P257" i="13" s="1"/>
  <c r="N106" i="19"/>
  <c r="E119" i="18"/>
  <c r="AN33" i="16"/>
  <c r="AQ33" i="16" s="1"/>
  <c r="AB34" i="19" s="1"/>
  <c r="D97" i="21"/>
  <c r="H97" i="16"/>
  <c r="K97" i="16" s="1"/>
  <c r="W36" i="16"/>
  <c r="T36" i="16"/>
  <c r="N36" i="16"/>
  <c r="S5" i="17"/>
  <c r="T5" i="17" s="1"/>
  <c r="AC5" i="16" s="1"/>
  <c r="V299" i="7"/>
  <c r="M75" i="13"/>
  <c r="O75" i="13" s="1"/>
  <c r="R76" i="7"/>
  <c r="T76" i="7" s="1"/>
  <c r="M235" i="13"/>
  <c r="O235" i="13" s="1"/>
  <c r="R236" i="7"/>
  <c r="T236" i="7" s="1"/>
  <c r="AL43" i="16"/>
  <c r="AO43" i="16" s="1"/>
  <c r="M33" i="13"/>
  <c r="O33" i="13" s="1"/>
  <c r="R34" i="7"/>
  <c r="T34" i="7" s="1"/>
  <c r="J30" i="13"/>
  <c r="I30" i="13"/>
  <c r="K30" i="13" s="1"/>
  <c r="P30" i="13" s="1"/>
  <c r="M35" i="13"/>
  <c r="O35" i="13" s="1"/>
  <c r="R36" i="7"/>
  <c r="T36" i="7" s="1"/>
  <c r="J219" i="13"/>
  <c r="I219" i="13"/>
  <c r="K219" i="13" s="1"/>
  <c r="P219" i="13" s="1"/>
  <c r="M56" i="13"/>
  <c r="O56" i="13" s="1"/>
  <c r="R57" i="7"/>
  <c r="T57" i="7" s="1"/>
  <c r="N14" i="13"/>
  <c r="N300" i="7"/>
  <c r="AT6" i="13"/>
  <c r="AT292" i="7"/>
  <c r="AT22" i="13"/>
  <c r="AT308" i="7"/>
  <c r="F67" i="13"/>
  <c r="G67" i="13" s="1"/>
  <c r="J68" i="7"/>
  <c r="L68" i="7" s="1"/>
  <c r="J94" i="13"/>
  <c r="I94" i="13"/>
  <c r="K94" i="13" s="1"/>
  <c r="P94" i="13" s="1"/>
  <c r="I149" i="13"/>
  <c r="J149" i="13"/>
  <c r="J53" i="13"/>
  <c r="I53" i="13"/>
  <c r="K53" i="13" s="1"/>
  <c r="P53" i="13" s="1"/>
  <c r="R221" i="13"/>
  <c r="M148" i="13"/>
  <c r="O148" i="13" s="1"/>
  <c r="R149" i="7"/>
  <c r="T149" i="7" s="1"/>
  <c r="M218" i="13"/>
  <c r="O218" i="13" s="1"/>
  <c r="R219" i="7"/>
  <c r="T219" i="7" s="1"/>
  <c r="AS58" i="8"/>
  <c r="BC58" i="8" s="1"/>
  <c r="AU58" i="8"/>
  <c r="AW58" i="8" s="1"/>
  <c r="BJ46" i="8"/>
  <c r="BF7" i="8"/>
  <c r="BH7" i="8" s="1"/>
  <c r="G83" i="19" s="1"/>
  <c r="I266" i="13"/>
  <c r="J266" i="13"/>
  <c r="J269" i="13"/>
  <c r="I269" i="13"/>
  <c r="K269" i="13" s="1"/>
  <c r="P269" i="13" s="1"/>
  <c r="G272" i="13"/>
  <c r="E289" i="13"/>
  <c r="M280" i="13"/>
  <c r="O280" i="13" s="1"/>
  <c r="R280" i="13" s="1"/>
  <c r="R281" i="7"/>
  <c r="T281" i="7" s="1"/>
  <c r="BH47" i="8"/>
  <c r="BT47" i="8"/>
  <c r="BU47" i="8" s="1"/>
  <c r="Y41" i="17"/>
  <c r="Z41" i="17"/>
  <c r="AK59" i="17" s="1"/>
  <c r="AC41" i="16" s="1"/>
  <c r="Q84" i="16"/>
  <c r="AR84" i="16" s="1"/>
  <c r="AC88" i="19" s="1"/>
  <c r="AU84" i="16"/>
  <c r="D102" i="18" s="1"/>
  <c r="H102" i="18" s="1"/>
  <c r="AT84" i="16"/>
  <c r="D106" i="21"/>
  <c r="H106" i="16"/>
  <c r="K106" i="16" s="1"/>
  <c r="H41" i="18"/>
  <c r="D55" i="18"/>
  <c r="Y31" i="17"/>
  <c r="Z31" i="17"/>
  <c r="AC31" i="16" s="1"/>
  <c r="AL31" i="16" s="1"/>
  <c r="AC68" i="19"/>
  <c r="AT65" i="16"/>
  <c r="AY65" i="16"/>
  <c r="AU65" i="16"/>
  <c r="D83" i="18" s="1"/>
  <c r="H83" i="18" s="1"/>
  <c r="L34" i="9"/>
  <c r="O34" i="9" s="1"/>
  <c r="N34" i="9"/>
  <c r="H15" i="9" s="1"/>
  <c r="E34" i="19" s="1"/>
  <c r="J26" i="13"/>
  <c r="I26" i="13"/>
  <c r="K26" i="13" s="1"/>
  <c r="P26" i="13" s="1"/>
  <c r="AD17" i="13"/>
  <c r="AD303" i="7"/>
  <c r="I39" i="13"/>
  <c r="J39" i="13"/>
  <c r="J169" i="13"/>
  <c r="I169" i="13"/>
  <c r="K169" i="13" s="1"/>
  <c r="P169" i="13" s="1"/>
  <c r="J188" i="13"/>
  <c r="I188" i="13"/>
  <c r="K188" i="13" s="1"/>
  <c r="P188" i="13" s="1"/>
  <c r="L216" i="7"/>
  <c r="J233" i="7"/>
  <c r="N251" i="13"/>
  <c r="I52" i="13"/>
  <c r="K52" i="13" s="1"/>
  <c r="P52" i="13" s="1"/>
  <c r="J52" i="13"/>
  <c r="U142" i="13"/>
  <c r="W142" i="13" s="1"/>
  <c r="Z143" i="7"/>
  <c r="AB143" i="7" s="1"/>
  <c r="U206" i="13"/>
  <c r="W206" i="13" s="1"/>
  <c r="Z207" i="7"/>
  <c r="AB207" i="7" s="1"/>
  <c r="F7" i="13"/>
  <c r="G7" i="13" s="1"/>
  <c r="F293" i="7"/>
  <c r="J293" i="7" s="1"/>
  <c r="L293" i="7" s="1"/>
  <c r="R293" i="7" s="1"/>
  <c r="T293" i="7" s="1"/>
  <c r="Z293" i="7" s="1"/>
  <c r="AB293" i="7" s="1"/>
  <c r="AH293" i="7" s="1"/>
  <c r="AJ293" i="7" s="1"/>
  <c r="AP293" i="7" s="1"/>
  <c r="AR293" i="7" s="1"/>
  <c r="AX293" i="7" s="1"/>
  <c r="J8" i="7"/>
  <c r="L8" i="7" s="1"/>
  <c r="AL15" i="13"/>
  <c r="AL301" i="7"/>
  <c r="V12" i="13"/>
  <c r="V298" i="7"/>
  <c r="V10" i="13"/>
  <c r="V296" i="7"/>
  <c r="J43" i="7"/>
  <c r="L26" i="7"/>
  <c r="AL80" i="13"/>
  <c r="M90" i="13"/>
  <c r="O90" i="13" s="1"/>
  <c r="R91" i="7"/>
  <c r="T91" i="7" s="1"/>
  <c r="J147" i="13"/>
  <c r="I147" i="13"/>
  <c r="K147" i="13" s="1"/>
  <c r="P147" i="13" s="1"/>
  <c r="M203" i="13"/>
  <c r="O203" i="13" s="1"/>
  <c r="R204" i="7"/>
  <c r="T204" i="7" s="1"/>
  <c r="Q216" i="13"/>
  <c r="F73" i="13"/>
  <c r="G73" i="13" s="1"/>
  <c r="J74" i="7"/>
  <c r="L74" i="7" s="1"/>
  <c r="M166" i="13"/>
  <c r="O166" i="13" s="1"/>
  <c r="R167" i="7"/>
  <c r="T167" i="7" s="1"/>
  <c r="M204" i="13"/>
  <c r="O204" i="13" s="1"/>
  <c r="R205" i="7"/>
  <c r="T205" i="7" s="1"/>
  <c r="BV29" i="8"/>
  <c r="BW11" i="8" s="1"/>
  <c r="BT11" i="8"/>
  <c r="F76" i="13"/>
  <c r="G76" i="13" s="1"/>
  <c r="J77" i="7"/>
  <c r="L77" i="7" s="1"/>
  <c r="F78" i="13"/>
  <c r="G78" i="13" s="1"/>
  <c r="J79" i="7"/>
  <c r="L79" i="7" s="1"/>
  <c r="F125" i="13"/>
  <c r="G125" i="13" s="1"/>
  <c r="J126" i="7"/>
  <c r="L126" i="7" s="1"/>
  <c r="F127" i="13"/>
  <c r="G127" i="13" s="1"/>
  <c r="J128" i="7"/>
  <c r="L128" i="7" s="1"/>
  <c r="BV61" i="8"/>
  <c r="BV23" i="8"/>
  <c r="BT5" i="8"/>
  <c r="BJ53" i="8"/>
  <c r="BF14" i="8"/>
  <c r="BH14" i="8" s="1"/>
  <c r="G90" i="19" s="1"/>
  <c r="Q254" i="7"/>
  <c r="K271" i="7"/>
  <c r="BJ18" i="8"/>
  <c r="AL47" i="9"/>
  <c r="S6" i="9" s="1"/>
  <c r="D101" i="19" s="1"/>
  <c r="AJ47" i="9"/>
  <c r="AL59" i="9"/>
  <c r="AJ59" i="9"/>
  <c r="M262" i="13"/>
  <c r="O262" i="13" s="1"/>
  <c r="R263" i="7"/>
  <c r="T263" i="7" s="1"/>
  <c r="BW50" i="8"/>
  <c r="BS11" i="8"/>
  <c r="BV35" i="8"/>
  <c r="BW17" i="8" s="1"/>
  <c r="BT17" i="8"/>
  <c r="R284" i="13"/>
  <c r="AW45" i="8"/>
  <c r="AS6" i="8"/>
  <c r="AU6" i="8" s="1"/>
  <c r="G63" i="19" s="1"/>
  <c r="V63" i="19" s="1"/>
  <c r="AE63" i="19" s="1"/>
  <c r="M281" i="13"/>
  <c r="O281" i="13" s="1"/>
  <c r="R282" i="7"/>
  <c r="T282" i="7" s="1"/>
  <c r="AE30" i="19"/>
  <c r="Q93" i="13"/>
  <c r="S93" i="13" s="1"/>
  <c r="X93" i="13" s="1"/>
  <c r="Q191" i="13"/>
  <c r="S191" i="13" s="1"/>
  <c r="X191" i="13" s="1"/>
  <c r="O26" i="15"/>
  <c r="T25" i="14"/>
  <c r="Y25" i="14" s="1"/>
  <c r="Q78" i="16"/>
  <c r="AR78" i="16" s="1"/>
  <c r="AC82" i="19" s="1"/>
  <c r="AU78" i="16"/>
  <c r="D96" i="18" s="1"/>
  <c r="H96" i="18" s="1"/>
  <c r="AT78" i="16"/>
  <c r="D100" i="21"/>
  <c r="H100" i="16"/>
  <c r="K100" i="16" s="1"/>
  <c r="AR34" i="16"/>
  <c r="AC35" i="19" s="1"/>
  <c r="J38" i="13"/>
  <c r="I38" i="13"/>
  <c r="AL9" i="13"/>
  <c r="AL295" i="7"/>
  <c r="M27" i="13"/>
  <c r="O27" i="13" s="1"/>
  <c r="R28" i="7"/>
  <c r="T28" i="7" s="1"/>
  <c r="J165" i="13"/>
  <c r="I165" i="13"/>
  <c r="J181" i="13"/>
  <c r="I181" i="13"/>
  <c r="I224" i="13"/>
  <c r="K224" i="13" s="1"/>
  <c r="P224" i="13" s="1"/>
  <c r="J224" i="13"/>
  <c r="M58" i="13"/>
  <c r="O58" i="13" s="1"/>
  <c r="R59" i="7"/>
  <c r="T59" i="7" s="1"/>
  <c r="N7" i="13"/>
  <c r="N293" i="7"/>
  <c r="AT15" i="13"/>
  <c r="AT301" i="7"/>
  <c r="AD12" i="13"/>
  <c r="AD298" i="7"/>
  <c r="AD10" i="13"/>
  <c r="AD296" i="7"/>
  <c r="J62" i="7"/>
  <c r="L45" i="7"/>
  <c r="J86" i="13"/>
  <c r="I86" i="13"/>
  <c r="M141" i="13"/>
  <c r="O141" i="13" s="1"/>
  <c r="R142" i="7"/>
  <c r="T142" i="7" s="1"/>
  <c r="M209" i="13"/>
  <c r="O209" i="13" s="1"/>
  <c r="R210" i="7"/>
  <c r="T210" i="7" s="1"/>
  <c r="M198" i="13"/>
  <c r="O198" i="13" s="1"/>
  <c r="R199" i="7"/>
  <c r="T199" i="7" s="1"/>
  <c r="U187" i="13"/>
  <c r="W187" i="13" s="1"/>
  <c r="Z188" i="7"/>
  <c r="AB188" i="7" s="1"/>
  <c r="U216" i="13"/>
  <c r="W216" i="13" s="1"/>
  <c r="Z217" i="7"/>
  <c r="AB217" i="7" s="1"/>
  <c r="M91" i="13"/>
  <c r="O91" i="13" s="1"/>
  <c r="R92" i="7"/>
  <c r="T92" i="7" s="1"/>
  <c r="J140" i="13"/>
  <c r="I140" i="13"/>
  <c r="I170" i="13"/>
  <c r="K170" i="13" s="1"/>
  <c r="P170" i="13" s="1"/>
  <c r="J170" i="13"/>
  <c r="J208" i="13"/>
  <c r="I208" i="13"/>
  <c r="Q182" i="13"/>
  <c r="S182" i="13" s="1"/>
  <c r="X182" i="13" s="1"/>
  <c r="F236" i="13"/>
  <c r="G236" i="13" s="1"/>
  <c r="J237" i="7"/>
  <c r="L237" i="7" s="1"/>
  <c r="F249" i="13"/>
  <c r="G249" i="13" s="1"/>
  <c r="J250" i="7"/>
  <c r="L250" i="7" s="1"/>
  <c r="AJ61" i="9"/>
  <c r="AL61" i="9"/>
  <c r="Q159" i="7"/>
  <c r="K176" i="7"/>
  <c r="M256" i="13"/>
  <c r="O256" i="13" s="1"/>
  <c r="R257" i="7"/>
  <c r="T257" i="7" s="1"/>
  <c r="U5" i="8"/>
  <c r="M261" i="13"/>
  <c r="O261" i="13" s="1"/>
  <c r="R262" i="7"/>
  <c r="T262" i="7" s="1"/>
  <c r="BT32" i="8"/>
  <c r="M274" i="13"/>
  <c r="O274" i="13" s="1"/>
  <c r="R275" i="7"/>
  <c r="T275" i="7" s="1"/>
  <c r="J298" i="7"/>
  <c r="L298" i="7" s="1"/>
  <c r="Q286" i="13"/>
  <c r="BT38" i="8"/>
  <c r="AX9" i="10"/>
  <c r="T10" i="10"/>
  <c r="BH12" i="10"/>
  <c r="T14" i="10"/>
  <c r="AN15" i="10"/>
  <c r="BH16" i="10"/>
  <c r="Q146" i="13"/>
  <c r="Q225" i="13"/>
  <c r="S225" i="13" s="1"/>
  <c r="X225" i="13"/>
  <c r="F24" i="22"/>
  <c r="C36" i="22"/>
  <c r="Q81" i="16"/>
  <c r="AR81" i="16" s="1"/>
  <c r="AC85" i="19" s="1"/>
  <c r="AU81" i="16"/>
  <c r="D99" i="18" s="1"/>
  <c r="H99" i="18" s="1"/>
  <c r="AT81" i="16"/>
  <c r="D101" i="21"/>
  <c r="H101" i="16"/>
  <c r="K101" i="16" s="1"/>
  <c r="Z26" i="17"/>
  <c r="AC26" i="16" s="1"/>
  <c r="AL26" i="16" s="1"/>
  <c r="Y26" i="17"/>
  <c r="S90" i="16"/>
  <c r="Y68" i="17"/>
  <c r="Z68" i="17" s="1"/>
  <c r="AK68" i="17" s="1"/>
  <c r="AC50" i="16" s="1"/>
  <c r="AL50" i="16" s="1"/>
  <c r="AO50" i="16" s="1"/>
  <c r="M34" i="13"/>
  <c r="O34" i="13" s="1"/>
  <c r="R35" i="7"/>
  <c r="T35" i="7" s="1"/>
  <c r="E17" i="4"/>
  <c r="E39" i="4" s="1"/>
  <c r="F15" i="4"/>
  <c r="F16" i="4" s="1"/>
  <c r="G15" i="4" s="1"/>
  <c r="G16" i="4" s="1"/>
  <c r="H15" i="4" s="1"/>
  <c r="H16" i="4" s="1"/>
  <c r="I15" i="4" s="1"/>
  <c r="I16" i="4" s="1"/>
  <c r="J15" i="4" s="1"/>
  <c r="J16" i="4" s="1"/>
  <c r="K15" i="4" s="1"/>
  <c r="K16" i="4" s="1"/>
  <c r="D49" i="2"/>
  <c r="D77" i="2" s="1"/>
  <c r="E25" i="2"/>
  <c r="E49" i="2" s="1"/>
  <c r="E77" i="2" s="1"/>
  <c r="D52" i="2"/>
  <c r="D80" i="2" s="1"/>
  <c r="E28" i="2"/>
  <c r="E52" i="2" s="1"/>
  <c r="E80" i="2" s="1"/>
  <c r="AT9" i="13"/>
  <c r="AT295" i="7"/>
  <c r="M31" i="13"/>
  <c r="O31" i="13" s="1"/>
  <c r="R32" i="7"/>
  <c r="T32" i="7" s="1"/>
  <c r="AD137" i="13"/>
  <c r="J161" i="13"/>
  <c r="I161" i="13"/>
  <c r="K161" i="13" s="1"/>
  <c r="P161" i="13" s="1"/>
  <c r="J190" i="13"/>
  <c r="I190" i="13"/>
  <c r="K190" i="13" s="1"/>
  <c r="P190" i="13" s="1"/>
  <c r="I179" i="13"/>
  <c r="J179" i="13"/>
  <c r="M60" i="13"/>
  <c r="O60" i="13" s="1"/>
  <c r="R61" i="7"/>
  <c r="T61" i="7" s="1"/>
  <c r="M45" i="13"/>
  <c r="O45" i="13" s="1"/>
  <c r="R46" i="7"/>
  <c r="T46" i="7" s="1"/>
  <c r="U89" i="13"/>
  <c r="W89" i="13" s="1"/>
  <c r="Z90" i="7"/>
  <c r="AB90" i="7" s="1"/>
  <c r="U202" i="13"/>
  <c r="W202" i="13" s="1"/>
  <c r="Z203" i="7"/>
  <c r="AB203" i="7" s="1"/>
  <c r="F234" i="13"/>
  <c r="J235" i="7"/>
  <c r="V15" i="13"/>
  <c r="V301" i="7"/>
  <c r="F8" i="13"/>
  <c r="G8" i="13" s="1"/>
  <c r="F294" i="7"/>
  <c r="J9" i="7"/>
  <c r="L9" i="7" s="1"/>
  <c r="F6" i="13"/>
  <c r="F292" i="7"/>
  <c r="J7" i="7"/>
  <c r="C22" i="10"/>
  <c r="AL20" i="13"/>
  <c r="AL306" i="7"/>
  <c r="AL18" i="13"/>
  <c r="AL304" i="7"/>
  <c r="J96" i="13"/>
  <c r="I96" i="13"/>
  <c r="K96" i="13" s="1"/>
  <c r="P96" i="13" s="1"/>
  <c r="F99" i="13"/>
  <c r="G82" i="13"/>
  <c r="I153" i="13"/>
  <c r="J153" i="13"/>
  <c r="F156" i="13"/>
  <c r="G139" i="13"/>
  <c r="M211" i="13"/>
  <c r="O211" i="13" s="1"/>
  <c r="R212" i="7"/>
  <c r="T212" i="7" s="1"/>
  <c r="M55" i="13"/>
  <c r="O55" i="13" s="1"/>
  <c r="R56" i="7"/>
  <c r="T56" i="7" s="1"/>
  <c r="K100" i="7"/>
  <c r="Q83" i="7"/>
  <c r="M144" i="13"/>
  <c r="O144" i="13" s="1"/>
  <c r="R145" i="7"/>
  <c r="T145" i="7" s="1"/>
  <c r="M193" i="13"/>
  <c r="O193" i="13" s="1"/>
  <c r="R194" i="7"/>
  <c r="T194" i="7" s="1"/>
  <c r="J271" i="7"/>
  <c r="L254" i="7"/>
  <c r="AK53" i="8"/>
  <c r="AF14" i="8"/>
  <c r="AH14" i="8" s="1"/>
  <c r="G52" i="19" s="1"/>
  <c r="V52" i="19" s="1"/>
  <c r="AE52" i="19" s="1"/>
  <c r="AK54" i="8"/>
  <c r="AF15" i="8"/>
  <c r="AH15" i="8" s="1"/>
  <c r="G53" i="19" s="1"/>
  <c r="AJ49" i="9"/>
  <c r="AL49" i="9" s="1"/>
  <c r="S8" i="9" s="1"/>
  <c r="D103" i="19" s="1"/>
  <c r="M264" i="13"/>
  <c r="O264" i="13" s="1"/>
  <c r="R265" i="7"/>
  <c r="T265" i="7" s="1"/>
  <c r="AG55" i="8"/>
  <c r="AP55" i="8" s="1"/>
  <c r="AC61" i="8"/>
  <c r="V15" i="19"/>
  <c r="AE15" i="19" s="1"/>
  <c r="R282" i="13"/>
  <c r="BT36" i="8"/>
  <c r="V32" i="19"/>
  <c r="AE32" i="19" s="1"/>
  <c r="J295" i="7"/>
  <c r="L295" i="7" s="1"/>
  <c r="R295" i="7" s="1"/>
  <c r="T295" i="7" s="1"/>
  <c r="J279" i="13"/>
  <c r="I279" i="13"/>
  <c r="AD10" i="10"/>
  <c r="AX11" i="10"/>
  <c r="AD14" i="10"/>
  <c r="J17" i="10"/>
  <c r="AD18" i="10"/>
  <c r="AX19" i="10"/>
  <c r="J21" i="10"/>
  <c r="Q183" i="13"/>
  <c r="S183" i="13" s="1"/>
  <c r="X183" i="13" s="1"/>
  <c r="M57" i="19"/>
  <c r="N72" i="19"/>
  <c r="E87" i="18"/>
  <c r="AR32" i="16"/>
  <c r="AC33" i="19" s="1"/>
  <c r="Q89" i="16"/>
  <c r="AR89" i="16" s="1"/>
  <c r="AC93" i="19" s="1"/>
  <c r="AU89" i="16"/>
  <c r="D107" i="18" s="1"/>
  <c r="H107" i="18" s="1"/>
  <c r="AT89" i="16"/>
  <c r="AL14" i="16"/>
  <c r="Z41" i="16"/>
  <c r="AL41" i="16" s="1"/>
  <c r="AO41" i="16" s="1"/>
  <c r="AK41" i="16"/>
  <c r="AN41" i="16" s="1"/>
  <c r="AQ41" i="16" s="1"/>
  <c r="AU18" i="16"/>
  <c r="AD299" i="7"/>
  <c r="J75" i="13"/>
  <c r="I75" i="13"/>
  <c r="J235" i="13"/>
  <c r="I235" i="13"/>
  <c r="L29" i="9"/>
  <c r="O29" i="9" s="1"/>
  <c r="L37" i="9"/>
  <c r="O37" i="9" s="1"/>
  <c r="N299" i="7"/>
  <c r="AV28" i="16"/>
  <c r="C87" i="18"/>
  <c r="AV69" i="16"/>
  <c r="AT27" i="16"/>
  <c r="AO27" i="16"/>
  <c r="AL13" i="13"/>
  <c r="AL299" i="7"/>
  <c r="J173" i="13"/>
  <c r="I173" i="13"/>
  <c r="J186" i="13"/>
  <c r="I186" i="13"/>
  <c r="Q252" i="7"/>
  <c r="S235" i="7"/>
  <c r="AD7" i="13"/>
  <c r="AD293" i="7"/>
  <c r="N19" i="13"/>
  <c r="N305" i="7"/>
  <c r="N16" i="13"/>
  <c r="N302" i="7"/>
  <c r="AT8" i="13"/>
  <c r="AT294" i="7"/>
  <c r="I207" i="13"/>
  <c r="J207" i="13"/>
  <c r="U183" i="13"/>
  <c r="W183" i="13" s="1"/>
  <c r="Z184" i="7"/>
  <c r="AB184" i="7" s="1"/>
  <c r="F69" i="13"/>
  <c r="G69" i="13" s="1"/>
  <c r="J70" i="7"/>
  <c r="L70" i="7" s="1"/>
  <c r="M180" i="13"/>
  <c r="O180" i="13" s="1"/>
  <c r="R181" i="7"/>
  <c r="T181" i="7" s="1"/>
  <c r="AJ51" i="9"/>
  <c r="AL51" i="9" s="1"/>
  <c r="S10" i="9" s="1"/>
  <c r="D105" i="19" s="1"/>
  <c r="K81" i="7"/>
  <c r="Q64" i="7"/>
  <c r="I267" i="13"/>
  <c r="J267" i="13"/>
  <c r="AJ55" i="9"/>
  <c r="AL55" i="9" s="1"/>
  <c r="S14" i="9" s="1"/>
  <c r="D109" i="19" s="1"/>
  <c r="I254" i="13"/>
  <c r="J254" i="13"/>
  <c r="R287" i="13"/>
  <c r="AW49" i="8"/>
  <c r="AS10" i="8"/>
  <c r="AU10" i="8" s="1"/>
  <c r="G67" i="19" s="1"/>
  <c r="V67" i="19" s="1"/>
  <c r="AE67" i="19" s="1"/>
  <c r="I38" i="9"/>
  <c r="H38" i="9"/>
  <c r="E18" i="9" s="1"/>
  <c r="E18" i="19" s="1"/>
  <c r="Q284" i="13"/>
  <c r="S284" i="13" s="1"/>
  <c r="X284" i="13"/>
  <c r="Q187" i="13"/>
  <c r="C27" i="15"/>
  <c r="E27" i="15" s="1"/>
  <c r="F27" i="15" s="1"/>
  <c r="G27" i="15" s="1"/>
  <c r="H27" i="15" s="1"/>
  <c r="N27" i="15" s="1"/>
  <c r="T7" i="14"/>
  <c r="Y7" i="14" s="1"/>
  <c r="J33" i="13"/>
  <c r="I33" i="13"/>
  <c r="M32" i="13"/>
  <c r="O32" i="13" s="1"/>
  <c r="R33" i="7"/>
  <c r="T33" i="7" s="1"/>
  <c r="F15" i="3"/>
  <c r="F16" i="3" s="1"/>
  <c r="E17" i="3"/>
  <c r="E34" i="3" s="1"/>
  <c r="E20" i="3" s="1"/>
  <c r="V17" i="13"/>
  <c r="V303" i="7"/>
  <c r="I35" i="13"/>
  <c r="K35" i="13" s="1"/>
  <c r="P35" i="13" s="1"/>
  <c r="J35" i="13"/>
  <c r="M171" i="13"/>
  <c r="O171" i="13" s="1"/>
  <c r="R171" i="13" s="1"/>
  <c r="R172" i="7"/>
  <c r="T172" i="7" s="1"/>
  <c r="M168" i="13"/>
  <c r="O168" i="13" s="1"/>
  <c r="R169" i="7"/>
  <c r="T169" i="7" s="1"/>
  <c r="M192" i="13"/>
  <c r="O192" i="13" s="1"/>
  <c r="R193" i="7"/>
  <c r="T193" i="7" s="1"/>
  <c r="M222" i="13"/>
  <c r="O222" i="13" s="1"/>
  <c r="R223" i="7"/>
  <c r="T223" i="7" s="1"/>
  <c r="I56" i="13"/>
  <c r="K56" i="13" s="1"/>
  <c r="P56" i="13" s="1"/>
  <c r="J56" i="13"/>
  <c r="N11" i="13"/>
  <c r="N297" i="7"/>
  <c r="AT19" i="13"/>
  <c r="AT305" i="7"/>
  <c r="N12" i="13"/>
  <c r="N298" i="7"/>
  <c r="N18" i="13"/>
  <c r="N304" i="7"/>
  <c r="AT14" i="13"/>
  <c r="AT300" i="7"/>
  <c r="AT16" i="13"/>
  <c r="AT302" i="7"/>
  <c r="M48" i="13"/>
  <c r="O48" i="13" s="1"/>
  <c r="R48" i="13" s="1"/>
  <c r="R49" i="7"/>
  <c r="T49" i="7" s="1"/>
  <c r="M92" i="13"/>
  <c r="O92" i="13" s="1"/>
  <c r="R92" i="13" s="1"/>
  <c r="R93" i="7"/>
  <c r="T93" i="7" s="1"/>
  <c r="V137" i="13"/>
  <c r="M151" i="13"/>
  <c r="O151" i="13" s="1"/>
  <c r="R152" i="7"/>
  <c r="T152" i="7" s="1"/>
  <c r="N61" i="13"/>
  <c r="Q233" i="7"/>
  <c r="S216" i="7"/>
  <c r="M83" i="13"/>
  <c r="O83" i="13" s="1"/>
  <c r="R84" i="7"/>
  <c r="T84" i="7" s="1"/>
  <c r="J148" i="13"/>
  <c r="I148" i="13"/>
  <c r="J180" i="13"/>
  <c r="I180" i="13"/>
  <c r="J218" i="13"/>
  <c r="I218" i="13"/>
  <c r="AF51" i="9"/>
  <c r="P10" i="9" s="1"/>
  <c r="D86" i="19" s="1"/>
  <c r="F246" i="13"/>
  <c r="G246" i="13" s="1"/>
  <c r="J247" i="7"/>
  <c r="L247" i="7" s="1"/>
  <c r="BW46" i="8"/>
  <c r="BS7" i="8"/>
  <c r="BU7" i="8" s="1"/>
  <c r="G102" i="19" s="1"/>
  <c r="AF55" i="9"/>
  <c r="P14" i="9" s="1"/>
  <c r="D90" i="19" s="1"/>
  <c r="V90" i="19" s="1"/>
  <c r="BV24" i="8"/>
  <c r="BW6" i="8" s="1"/>
  <c r="BT6" i="8"/>
  <c r="BV26" i="8"/>
  <c r="BW8" i="8" s="1"/>
  <c r="BT8" i="8"/>
  <c r="U201" i="13"/>
  <c r="W201" i="13" s="1"/>
  <c r="Z202" i="7"/>
  <c r="AB202" i="7" s="1"/>
  <c r="M260" i="13"/>
  <c r="O260" i="13" s="1"/>
  <c r="R261" i="7"/>
  <c r="T261" i="7" s="1"/>
  <c r="AG59" i="8"/>
  <c r="AP59" i="8" s="1"/>
  <c r="AD25" i="9"/>
  <c r="AG25" i="9" s="1"/>
  <c r="U283" i="13"/>
  <c r="W283" i="13" s="1"/>
  <c r="Z284" i="7"/>
  <c r="AB284" i="7" s="1"/>
  <c r="J113" i="19"/>
  <c r="J114" i="19" s="1"/>
  <c r="S19" i="12"/>
  <c r="L273" i="7"/>
  <c r="J290" i="7"/>
  <c r="M276" i="13"/>
  <c r="O276" i="13" s="1"/>
  <c r="R276" i="13" s="1"/>
  <c r="R277" i="7"/>
  <c r="T277" i="7" s="1"/>
  <c r="J300" i="7"/>
  <c r="L300" i="7" s="1"/>
  <c r="R300" i="7" s="1"/>
  <c r="T300" i="7" s="1"/>
  <c r="Z300" i="7" s="1"/>
  <c r="AB300" i="7" s="1"/>
  <c r="AH300" i="7" s="1"/>
  <c r="AJ300" i="7" s="1"/>
  <c r="AW47" i="8"/>
  <c r="AS8" i="8"/>
  <c r="AU8" i="8" s="1"/>
  <c r="G65" i="19" s="1"/>
  <c r="V65" i="19" s="1"/>
  <c r="AE65" i="19" s="1"/>
  <c r="T5" i="10"/>
  <c r="BH9" i="10"/>
  <c r="AN12" i="10"/>
  <c r="BH13" i="10"/>
  <c r="T15" i="10"/>
  <c r="AN16" i="10"/>
  <c r="K154" i="13"/>
  <c r="P154" i="13" s="1"/>
  <c r="R154" i="13" s="1"/>
  <c r="K197" i="13"/>
  <c r="P197" i="13" s="1"/>
  <c r="O95" i="14"/>
  <c r="E7" i="15"/>
  <c r="D8" i="15"/>
  <c r="Y45" i="17"/>
  <c r="Z45" i="17" s="1"/>
  <c r="AK63" i="17" s="1"/>
  <c r="AC45" i="16" s="1"/>
  <c r="D102" i="21"/>
  <c r="H102" i="16"/>
  <c r="K102" i="16" s="1"/>
  <c r="V72" i="16"/>
  <c r="AT11" i="16"/>
  <c r="AO11" i="16"/>
  <c r="D29" i="3"/>
  <c r="E27" i="3"/>
  <c r="M37" i="13"/>
  <c r="O37" i="13" s="1"/>
  <c r="R38" i="7"/>
  <c r="T38" i="7" s="1"/>
  <c r="M28" i="13"/>
  <c r="O28" i="13" s="1"/>
  <c r="R29" i="7"/>
  <c r="T29" i="7" s="1"/>
  <c r="N21" i="13"/>
  <c r="N307" i="7"/>
  <c r="N80" i="13"/>
  <c r="M167" i="13"/>
  <c r="O167" i="13" s="1"/>
  <c r="R168" i="7"/>
  <c r="T168" i="7" s="1"/>
  <c r="M172" i="13"/>
  <c r="O172" i="13" s="1"/>
  <c r="R173" i="7"/>
  <c r="T173" i="7" s="1"/>
  <c r="F232" i="13"/>
  <c r="G215" i="13"/>
  <c r="K43" i="7"/>
  <c r="Q26" i="7"/>
  <c r="M47" i="13"/>
  <c r="O47" i="13" s="1"/>
  <c r="R48" i="7"/>
  <c r="T48" i="7" s="1"/>
  <c r="U93" i="13"/>
  <c r="W93" i="13" s="1"/>
  <c r="Z94" i="7"/>
  <c r="AB94" i="7" s="1"/>
  <c r="R206" i="13"/>
  <c r="AL7" i="13"/>
  <c r="AL293" i="7"/>
  <c r="V19" i="13"/>
  <c r="V305" i="7"/>
  <c r="V20" i="13"/>
  <c r="V306" i="7"/>
  <c r="V18" i="13"/>
  <c r="V304" i="7"/>
  <c r="F42" i="13"/>
  <c r="G25" i="13"/>
  <c r="J90" i="13"/>
  <c r="I90" i="13"/>
  <c r="K90" i="13" s="1"/>
  <c r="P90" i="13" s="1"/>
  <c r="F128" i="13"/>
  <c r="G128" i="13" s="1"/>
  <c r="J129" i="7"/>
  <c r="L129" i="7" s="1"/>
  <c r="M145" i="13"/>
  <c r="O145" i="13" s="1"/>
  <c r="R146" i="7"/>
  <c r="T146" i="7" s="1"/>
  <c r="I203" i="13"/>
  <c r="J203" i="13"/>
  <c r="M57" i="13"/>
  <c r="O57" i="13" s="1"/>
  <c r="R58" i="7"/>
  <c r="T58" i="7" s="1"/>
  <c r="F239" i="13"/>
  <c r="G239" i="13" s="1"/>
  <c r="J240" i="7"/>
  <c r="L240" i="7" s="1"/>
  <c r="M87" i="13"/>
  <c r="O87" i="13" s="1"/>
  <c r="R88" i="7"/>
  <c r="T88" i="7" s="1"/>
  <c r="K157" i="7"/>
  <c r="Q140" i="7"/>
  <c r="I166" i="13"/>
  <c r="J166" i="13"/>
  <c r="J204" i="13"/>
  <c r="I204" i="13"/>
  <c r="K204" i="13" s="1"/>
  <c r="P204" i="13" s="1"/>
  <c r="F64" i="13"/>
  <c r="G64" i="13" s="1"/>
  <c r="J65" i="7"/>
  <c r="L65" i="7" s="1"/>
  <c r="F66" i="13"/>
  <c r="G66" i="13" s="1"/>
  <c r="J67" i="7"/>
  <c r="L67" i="7" s="1"/>
  <c r="F129" i="13"/>
  <c r="G129" i="13" s="1"/>
  <c r="J130" i="7"/>
  <c r="L130" i="7" s="1"/>
  <c r="F131" i="13"/>
  <c r="G131" i="13" s="1"/>
  <c r="J132" i="7"/>
  <c r="L132" i="7" s="1"/>
  <c r="K201" i="13"/>
  <c r="P201" i="13" s="1"/>
  <c r="AE6" i="19"/>
  <c r="BV27" i="8"/>
  <c r="BW9" i="8" s="1"/>
  <c r="BT9" i="8"/>
  <c r="AF47" i="9"/>
  <c r="P6" i="9" s="1"/>
  <c r="D82" i="19" s="1"/>
  <c r="AF59" i="9"/>
  <c r="I262" i="13"/>
  <c r="K262" i="13" s="1"/>
  <c r="P262" i="13" s="1"/>
  <c r="J262" i="13"/>
  <c r="U288" i="13"/>
  <c r="W288" i="13" s="1"/>
  <c r="Z289" i="7"/>
  <c r="AB289" i="7" s="1"/>
  <c r="J273" i="13"/>
  <c r="I273" i="13"/>
  <c r="J301" i="7"/>
  <c r="L301" i="7" s="1"/>
  <c r="R301" i="7" s="1"/>
  <c r="T301" i="7" s="1"/>
  <c r="Z301" i="7" s="1"/>
  <c r="AB301" i="7" s="1"/>
  <c r="AH301" i="7" s="1"/>
  <c r="AJ301" i="7" s="1"/>
  <c r="AP301" i="7" s="1"/>
  <c r="AR301" i="7" s="1"/>
  <c r="AX301" i="7" s="1"/>
  <c r="BH51" i="8"/>
  <c r="BT51" i="8"/>
  <c r="BU51" i="8" s="1"/>
  <c r="R52" i="9"/>
  <c r="U52" i="9" s="1"/>
  <c r="AE40" i="8"/>
  <c r="AX10" i="10"/>
  <c r="AD13" i="10"/>
  <c r="AX14" i="10"/>
  <c r="J16" i="10"/>
  <c r="AD17" i="10"/>
  <c r="K142" i="13"/>
  <c r="P142" i="13" s="1"/>
  <c r="K259" i="13"/>
  <c r="P259" i="13" s="1"/>
  <c r="R259" i="13" s="1"/>
  <c r="K210" i="13"/>
  <c r="P210" i="13" s="1"/>
  <c r="N11" i="19"/>
  <c r="E29" i="18"/>
  <c r="N111" i="19"/>
  <c r="E124" i="18"/>
  <c r="N74" i="19"/>
  <c r="E89" i="18"/>
  <c r="Q80" i="16"/>
  <c r="AR80" i="16" s="1"/>
  <c r="AC84" i="19" s="1"/>
  <c r="AT80" i="16"/>
  <c r="AU80" i="16"/>
  <c r="D98" i="18" s="1"/>
  <c r="H98" i="18" s="1"/>
  <c r="Y42" i="17"/>
  <c r="Z42" i="17" s="1"/>
  <c r="AK60" i="17" s="1"/>
  <c r="AC42" i="16" s="1"/>
  <c r="AL42" i="16" s="1"/>
  <c r="AO42" i="16" s="1"/>
  <c r="D96" i="21"/>
  <c r="H96" i="16"/>
  <c r="K96" i="16" s="1"/>
  <c r="H34" i="22"/>
  <c r="T90" i="16"/>
  <c r="K90" i="16"/>
  <c r="W90" i="16" s="1"/>
  <c r="Q77" i="16"/>
  <c r="N90" i="16"/>
  <c r="AT77" i="16"/>
  <c r="AU77" i="16"/>
  <c r="AC62" i="19"/>
  <c r="AT59" i="16"/>
  <c r="AY59" i="16"/>
  <c r="AU59" i="16"/>
  <c r="AL12" i="16"/>
  <c r="AL24" i="16"/>
  <c r="S16" i="17"/>
  <c r="T16" i="17" s="1"/>
  <c r="AC16" i="16" s="1"/>
  <c r="AL16" i="16" s="1"/>
  <c r="E14" i="2"/>
  <c r="M40" i="13"/>
  <c r="O40" i="13" s="1"/>
  <c r="R41" i="7"/>
  <c r="T41" i="7" s="1"/>
  <c r="AT42" i="13"/>
  <c r="F17" i="13"/>
  <c r="G17" i="13" s="1"/>
  <c r="F303" i="7"/>
  <c r="J303" i="7" s="1"/>
  <c r="L303" i="7" s="1"/>
  <c r="J18" i="7"/>
  <c r="L18" i="7" s="1"/>
  <c r="I27" i="13"/>
  <c r="K27" i="13" s="1"/>
  <c r="P27" i="13" s="1"/>
  <c r="J27" i="13"/>
  <c r="M163" i="13"/>
  <c r="O163" i="13" s="1"/>
  <c r="R164" i="7"/>
  <c r="T164" i="7" s="1"/>
  <c r="M160" i="13"/>
  <c r="O160" i="13" s="1"/>
  <c r="R161" i="7"/>
  <c r="T161" i="7" s="1"/>
  <c r="M184" i="13"/>
  <c r="O184" i="13" s="1"/>
  <c r="R185" i="7"/>
  <c r="T185" i="7" s="1"/>
  <c r="M230" i="13"/>
  <c r="O230" i="13" s="1"/>
  <c r="R231" i="7"/>
  <c r="T231" i="7" s="1"/>
  <c r="J58" i="13"/>
  <c r="I58" i="13"/>
  <c r="AT7" i="13"/>
  <c r="AT293" i="7"/>
  <c r="AD19" i="13"/>
  <c r="AD305" i="7"/>
  <c r="AD8" i="13"/>
  <c r="AD294" i="7"/>
  <c r="AD18" i="13"/>
  <c r="AD304" i="7"/>
  <c r="F61" i="13"/>
  <c r="G44" i="13"/>
  <c r="M84" i="13"/>
  <c r="O84" i="13" s="1"/>
  <c r="R85" i="7"/>
  <c r="T85" i="7" s="1"/>
  <c r="I141" i="13"/>
  <c r="K141" i="13" s="1"/>
  <c r="P141" i="13" s="1"/>
  <c r="J141" i="13"/>
  <c r="J209" i="13"/>
  <c r="I209" i="13"/>
  <c r="I198" i="13"/>
  <c r="K198" i="13" s="1"/>
  <c r="P198" i="13" s="1"/>
  <c r="J198" i="13"/>
  <c r="R187" i="13"/>
  <c r="R216" i="13"/>
  <c r="M51" i="13"/>
  <c r="O51" i="13" s="1"/>
  <c r="R52" i="7"/>
  <c r="T52" i="7" s="1"/>
  <c r="I91" i="13"/>
  <c r="K91" i="13" s="1"/>
  <c r="P91" i="13" s="1"/>
  <c r="J91" i="13"/>
  <c r="L159" i="7"/>
  <c r="J176" i="7"/>
  <c r="M189" i="13"/>
  <c r="O189" i="13" s="1"/>
  <c r="R190" i="7"/>
  <c r="T190" i="7" s="1"/>
  <c r="M227" i="13"/>
  <c r="O227" i="13" s="1"/>
  <c r="R228" i="7"/>
  <c r="T228" i="7" s="1"/>
  <c r="AF57" i="9"/>
  <c r="P16" i="9" s="1"/>
  <c r="D92" i="19" s="1"/>
  <c r="F241" i="13"/>
  <c r="G241" i="13" s="1"/>
  <c r="J242" i="7"/>
  <c r="L242" i="7" s="1"/>
  <c r="J256" i="13"/>
  <c r="I256" i="13"/>
  <c r="K256" i="13" s="1"/>
  <c r="P256" i="13" s="1"/>
  <c r="J261" i="13"/>
  <c r="I261" i="13"/>
  <c r="K261" i="13" s="1"/>
  <c r="P261" i="13" s="1"/>
  <c r="R50" i="9"/>
  <c r="U50" i="9" s="1"/>
  <c r="T50" i="9"/>
  <c r="J9" i="9" s="1"/>
  <c r="D47" i="19" s="1"/>
  <c r="V47" i="19" s="1"/>
  <c r="AE47" i="19" s="1"/>
  <c r="D5" i="19"/>
  <c r="D19" i="9"/>
  <c r="J294" i="7"/>
  <c r="L294" i="7" s="1"/>
  <c r="R294" i="7" s="1"/>
  <c r="T294" i="7" s="1"/>
  <c r="J278" i="13"/>
  <c r="I278" i="13"/>
  <c r="N56" i="9"/>
  <c r="G15" i="9" s="1"/>
  <c r="D34" i="19" s="1"/>
  <c r="V34" i="19" s="1"/>
  <c r="AE34" i="19" s="1"/>
  <c r="AQ40" i="8"/>
  <c r="K97" i="13"/>
  <c r="P97" i="13" s="1"/>
  <c r="Q92" i="14"/>
  <c r="N112" i="19"/>
  <c r="E125" i="18"/>
  <c r="D99" i="21"/>
  <c r="H99" i="16"/>
  <c r="K99" i="16" s="1"/>
  <c r="AL8" i="16"/>
  <c r="S17" i="17"/>
  <c r="T17" i="17" s="1"/>
  <c r="AC17" i="16" s="1"/>
  <c r="AL17" i="16" s="1"/>
  <c r="J34" i="13"/>
  <c r="I34" i="13"/>
  <c r="V42" i="13"/>
  <c r="E26" i="2"/>
  <c r="E50" i="2" s="1"/>
  <c r="E78" i="2" s="1"/>
  <c r="D50" i="2"/>
  <c r="D78" i="2" s="1"/>
  <c r="D51" i="2"/>
  <c r="D79" i="2" s="1"/>
  <c r="E27" i="2"/>
  <c r="E51" i="2" s="1"/>
  <c r="E79" i="2" s="1"/>
  <c r="N17" i="13"/>
  <c r="N303" i="7"/>
  <c r="I31" i="13"/>
  <c r="J31" i="13"/>
  <c r="M159" i="13"/>
  <c r="O159" i="13" s="1"/>
  <c r="R160" i="7"/>
  <c r="T160" i="7" s="1"/>
  <c r="M164" i="13"/>
  <c r="O164" i="13" s="1"/>
  <c r="R165" i="7"/>
  <c r="T165" i="7" s="1"/>
  <c r="L178" i="7"/>
  <c r="J195" i="7"/>
  <c r="I60" i="13"/>
  <c r="J60" i="13"/>
  <c r="J45" i="13"/>
  <c r="I45" i="13"/>
  <c r="K45" i="13" s="1"/>
  <c r="P45" i="13" s="1"/>
  <c r="R89" i="13"/>
  <c r="U146" i="13"/>
  <c r="W146" i="13" s="1"/>
  <c r="Z147" i="7"/>
  <c r="AB147" i="7" s="1"/>
  <c r="R202" i="13"/>
  <c r="F243" i="13"/>
  <c r="G243" i="13" s="1"/>
  <c r="J244" i="7"/>
  <c r="L244" i="7" s="1"/>
  <c r="V7" i="13"/>
  <c r="V293" i="7"/>
  <c r="F19" i="13"/>
  <c r="G19" i="13" s="1"/>
  <c r="F305" i="7"/>
  <c r="J305" i="7" s="1"/>
  <c r="L305" i="7" s="1"/>
  <c r="R305" i="7" s="1"/>
  <c r="T305" i="7" s="1"/>
  <c r="Z305" i="7" s="1"/>
  <c r="AB305" i="7" s="1"/>
  <c r="AH305" i="7" s="1"/>
  <c r="AJ305" i="7" s="1"/>
  <c r="J20" i="7"/>
  <c r="L20" i="7" s="1"/>
  <c r="F16" i="13"/>
  <c r="G16" i="13" s="1"/>
  <c r="F302" i="7"/>
  <c r="J302" i="7" s="1"/>
  <c r="L302" i="7" s="1"/>
  <c r="R302" i="7" s="1"/>
  <c r="T302" i="7" s="1"/>
  <c r="Z302" i="7" s="1"/>
  <c r="AB302" i="7" s="1"/>
  <c r="J17" i="7"/>
  <c r="L17" i="7" s="1"/>
  <c r="F10" i="13"/>
  <c r="G10" i="13" s="1"/>
  <c r="F296" i="7"/>
  <c r="J296" i="7" s="1"/>
  <c r="L296" i="7" s="1"/>
  <c r="R296" i="7" s="1"/>
  <c r="T296" i="7" s="1"/>
  <c r="Z296" i="7" s="1"/>
  <c r="AB296" i="7" s="1"/>
  <c r="AH296" i="7" s="1"/>
  <c r="AJ296" i="7" s="1"/>
  <c r="AP296" i="7" s="1"/>
  <c r="AR296" i="7" s="1"/>
  <c r="AX296" i="7" s="1"/>
  <c r="J11" i="7"/>
  <c r="L11" i="7" s="1"/>
  <c r="AL6" i="13"/>
  <c r="AL292" i="7"/>
  <c r="AL8" i="13"/>
  <c r="AL294" i="7"/>
  <c r="AL22" i="13"/>
  <c r="AL308" i="7"/>
  <c r="F63" i="13"/>
  <c r="J64" i="7"/>
  <c r="M98" i="13"/>
  <c r="O98" i="13" s="1"/>
  <c r="R99" i="7"/>
  <c r="T99" i="7" s="1"/>
  <c r="F120" i="13"/>
  <c r="G120" i="13" s="1"/>
  <c r="J121" i="7"/>
  <c r="M155" i="13"/>
  <c r="O155" i="13" s="1"/>
  <c r="R156" i="7"/>
  <c r="T156" i="7" s="1"/>
  <c r="I211" i="13"/>
  <c r="K211" i="13" s="1"/>
  <c r="P211" i="13" s="1"/>
  <c r="J211" i="13"/>
  <c r="F240" i="13"/>
  <c r="G240" i="13" s="1"/>
  <c r="J241" i="7"/>
  <c r="L241" i="7" s="1"/>
  <c r="M229" i="13"/>
  <c r="O229" i="13" s="1"/>
  <c r="R230" i="7"/>
  <c r="T230" i="7" s="1"/>
  <c r="J55" i="13"/>
  <c r="I55" i="13"/>
  <c r="M95" i="13"/>
  <c r="O95" i="13" s="1"/>
  <c r="R96" i="7"/>
  <c r="T96" i="7" s="1"/>
  <c r="J144" i="13"/>
  <c r="I144" i="13"/>
  <c r="J193" i="13"/>
  <c r="I193" i="13"/>
  <c r="F270" i="13"/>
  <c r="G253" i="13"/>
  <c r="K220" i="13"/>
  <c r="P220" i="13" s="1"/>
  <c r="M263" i="13"/>
  <c r="O263" i="13" s="1"/>
  <c r="R264" i="7"/>
  <c r="T264" i="7" s="1"/>
  <c r="F7" i="8"/>
  <c r="H7" i="8" s="1"/>
  <c r="G7" i="19" s="1"/>
  <c r="K46" i="8"/>
  <c r="K61" i="8" s="1"/>
  <c r="AS54" i="8"/>
  <c r="BC54" i="8" s="1"/>
  <c r="BV32" i="8"/>
  <c r="BW14" i="8" s="1"/>
  <c r="BT14" i="8"/>
  <c r="V11" i="19"/>
  <c r="AE11" i="19" s="1"/>
  <c r="J264" i="13"/>
  <c r="I264" i="13"/>
  <c r="K264" i="13" s="1"/>
  <c r="P264" i="13" s="1"/>
  <c r="V55" i="8"/>
  <c r="M265" i="13"/>
  <c r="O265" i="13" s="1"/>
  <c r="R266" i="7"/>
  <c r="T266" i="7" s="1"/>
  <c r="U286" i="13"/>
  <c r="W286" i="13" s="1"/>
  <c r="Z287" i="7"/>
  <c r="AB287" i="7" s="1"/>
  <c r="H22" i="10"/>
  <c r="E24" i="9"/>
  <c r="I36" i="9"/>
  <c r="H36" i="9"/>
  <c r="E17" i="9" s="1"/>
  <c r="E17" i="19" s="1"/>
  <c r="J275" i="13"/>
  <c r="I275" i="13"/>
  <c r="K275" i="13" s="1"/>
  <c r="P275" i="13" s="1"/>
  <c r="K283" i="13"/>
  <c r="P283" i="13" s="1"/>
  <c r="N60" i="9"/>
  <c r="G18" i="9" s="1"/>
  <c r="D37" i="19" s="1"/>
  <c r="I32" i="9"/>
  <c r="H32" i="9"/>
  <c r="E13" i="9" s="1"/>
  <c r="E13" i="19" s="1"/>
  <c r="K85" i="13"/>
  <c r="P85" i="13" s="1"/>
  <c r="K150" i="13"/>
  <c r="P150" i="13" s="1"/>
  <c r="K202" i="13"/>
  <c r="P202" i="13" s="1"/>
  <c r="O114" i="14"/>
  <c r="H32" i="22"/>
  <c r="Q85" i="16"/>
  <c r="AR85" i="16" s="1"/>
  <c r="AC89" i="19" s="1"/>
  <c r="AU85" i="16"/>
  <c r="D103" i="18" s="1"/>
  <c r="H103" i="18" s="1"/>
  <c r="AT85" i="16"/>
  <c r="D107" i="21"/>
  <c r="H107" i="16"/>
  <c r="K107" i="16" s="1"/>
  <c r="Y35" i="17"/>
  <c r="Z35" i="17" s="1"/>
  <c r="AC35" i="16" s="1"/>
  <c r="AL35" i="16" s="1"/>
  <c r="F6" i="22"/>
  <c r="C18" i="22"/>
  <c r="D37" i="18"/>
  <c r="H23" i="18"/>
  <c r="M132" i="13"/>
  <c r="O132" i="13" s="1"/>
  <c r="R133" i="7"/>
  <c r="T133" i="7" s="1"/>
  <c r="C28" i="18"/>
  <c r="AV10" i="16"/>
  <c r="AL48" i="16"/>
  <c r="AO48" i="16" s="1"/>
  <c r="AL47" i="16"/>
  <c r="AO47" i="16" s="1"/>
  <c r="AL52" i="16"/>
  <c r="AO52" i="16" s="1"/>
  <c r="J32" i="13"/>
  <c r="I32" i="13"/>
  <c r="V9" i="13"/>
  <c r="V295" i="7"/>
  <c r="J168" i="13"/>
  <c r="I168" i="13"/>
  <c r="J222" i="13"/>
  <c r="I222" i="13"/>
  <c r="N6" i="13"/>
  <c r="N23" i="13" s="1"/>
  <c r="N292" i="7"/>
  <c r="N309" i="7" s="1"/>
  <c r="N22" i="13"/>
  <c r="N308" i="7"/>
  <c r="M41" i="13"/>
  <c r="O41" i="13" s="1"/>
  <c r="R41" i="13" s="1"/>
  <c r="R42" i="7"/>
  <c r="T42" i="7" s="1"/>
  <c r="F124" i="13"/>
  <c r="G124" i="13" s="1"/>
  <c r="J125" i="7"/>
  <c r="L125" i="7" s="1"/>
  <c r="J151" i="13"/>
  <c r="I151" i="13"/>
  <c r="U191" i="13"/>
  <c r="W191" i="13" s="1"/>
  <c r="Z192" i="7"/>
  <c r="AB192" i="7" s="1"/>
  <c r="I83" i="13"/>
  <c r="K83" i="13" s="1"/>
  <c r="P83" i="13" s="1"/>
  <c r="J83" i="13"/>
  <c r="M199" i="13"/>
  <c r="O199" i="13" s="1"/>
  <c r="R199" i="13" s="1"/>
  <c r="R200" i="7"/>
  <c r="T200" i="7" s="1"/>
  <c r="R201" i="13"/>
  <c r="J260" i="13"/>
  <c r="I260" i="13"/>
  <c r="K260" i="13" s="1"/>
  <c r="P260" i="13" s="1"/>
  <c r="R283" i="13"/>
  <c r="Q288" i="13"/>
  <c r="F90" i="21"/>
  <c r="AC48" i="19"/>
  <c r="AV46" i="16"/>
  <c r="C64" i="18" s="1"/>
  <c r="AB24" i="19"/>
  <c r="AB38" i="19" s="1"/>
  <c r="AQ36" i="16"/>
  <c r="AN49" i="16"/>
  <c r="AQ49" i="16" s="1"/>
  <c r="S15" i="17"/>
  <c r="T15" i="17" s="1"/>
  <c r="AC15" i="16" s="1"/>
  <c r="AL15" i="16" s="1"/>
  <c r="M29" i="13"/>
  <c r="O29" i="13" s="1"/>
  <c r="R30" i="7"/>
  <c r="T30" i="7" s="1"/>
  <c r="J37" i="13"/>
  <c r="I37" i="13"/>
  <c r="J28" i="13"/>
  <c r="I28" i="13"/>
  <c r="AT21" i="13"/>
  <c r="AT307" i="7"/>
  <c r="J167" i="13"/>
  <c r="I167" i="13"/>
  <c r="K167" i="13" s="1"/>
  <c r="P167" i="13" s="1"/>
  <c r="J172" i="13"/>
  <c r="I172" i="13"/>
  <c r="K172" i="13" s="1"/>
  <c r="P172" i="13" s="1"/>
  <c r="M228" i="13"/>
  <c r="O228" i="13" s="1"/>
  <c r="R229" i="7"/>
  <c r="T229" i="7" s="1"/>
  <c r="M217" i="13"/>
  <c r="O217" i="13" s="1"/>
  <c r="R218" i="7"/>
  <c r="T218" i="7" s="1"/>
  <c r="J47" i="13"/>
  <c r="I47" i="13"/>
  <c r="K47" i="13" s="1"/>
  <c r="P47" i="13" s="1"/>
  <c r="U150" i="13"/>
  <c r="W150" i="13" s="1"/>
  <c r="Z151" i="7"/>
  <c r="AB151" i="7" s="1"/>
  <c r="U197" i="13"/>
  <c r="W197" i="13" s="1"/>
  <c r="Z198" i="7"/>
  <c r="AB198" i="7" s="1"/>
  <c r="V11" i="13"/>
  <c r="V297" i="7"/>
  <c r="V6" i="13"/>
  <c r="V292" i="7"/>
  <c r="V8" i="13"/>
  <c r="V294" i="7"/>
  <c r="V22" i="13"/>
  <c r="V308" i="7"/>
  <c r="M46" i="13"/>
  <c r="O46" i="13" s="1"/>
  <c r="R47" i="7"/>
  <c r="T47" i="7" s="1"/>
  <c r="F71" i="13"/>
  <c r="G71" i="13" s="1"/>
  <c r="J72" i="7"/>
  <c r="L72" i="7" s="1"/>
  <c r="M88" i="13"/>
  <c r="O88" i="13" s="1"/>
  <c r="R89" i="7"/>
  <c r="T89" i="7" s="1"/>
  <c r="I145" i="13"/>
  <c r="J145" i="13"/>
  <c r="M200" i="13"/>
  <c r="O200" i="13" s="1"/>
  <c r="R200" i="13" s="1"/>
  <c r="R201" i="7"/>
  <c r="T201" i="7" s="1"/>
  <c r="M231" i="13"/>
  <c r="O231" i="13" s="1"/>
  <c r="R231" i="13" s="1"/>
  <c r="R232" i="7"/>
  <c r="T232" i="7" s="1"/>
  <c r="J57" i="13"/>
  <c r="I57" i="13"/>
  <c r="K57" i="13" s="1"/>
  <c r="P57" i="13" s="1"/>
  <c r="U257" i="13"/>
  <c r="W257" i="13" s="1"/>
  <c r="Z258" i="7"/>
  <c r="AB258" i="7" s="1"/>
  <c r="I87" i="13"/>
  <c r="J87" i="13"/>
  <c r="M152" i="13"/>
  <c r="O152" i="13" s="1"/>
  <c r="R153" i="7"/>
  <c r="T153" i="7" s="1"/>
  <c r="M185" i="13"/>
  <c r="O185" i="13" s="1"/>
  <c r="R185" i="13" s="1"/>
  <c r="R186" i="7"/>
  <c r="T186" i="7" s="1"/>
  <c r="M223" i="13"/>
  <c r="O223" i="13" s="1"/>
  <c r="R224" i="7"/>
  <c r="T224" i="7" s="1"/>
  <c r="AK56" i="8"/>
  <c r="AF17" i="8"/>
  <c r="AH17" i="8" s="1"/>
  <c r="G55" i="19" s="1"/>
  <c r="F68" i="13"/>
  <c r="G68" i="13" s="1"/>
  <c r="J69" i="7"/>
  <c r="L69" i="7" s="1"/>
  <c r="F70" i="13"/>
  <c r="G70" i="13" s="1"/>
  <c r="J71" i="7"/>
  <c r="L71" i="7" s="1"/>
  <c r="F133" i="13"/>
  <c r="G133" i="13" s="1"/>
  <c r="J134" i="7"/>
  <c r="L134" i="7" s="1"/>
  <c r="F135" i="13"/>
  <c r="G135" i="13" s="1"/>
  <c r="J136" i="7"/>
  <c r="L136" i="7" s="1"/>
  <c r="BG19" i="8"/>
  <c r="AK52" i="8"/>
  <c r="AF13" i="8"/>
  <c r="AH13" i="8" s="1"/>
  <c r="G51" i="19" s="1"/>
  <c r="BS13" i="8"/>
  <c r="BU13" i="8" s="1"/>
  <c r="G108" i="19" s="1"/>
  <c r="BW52" i="8"/>
  <c r="BV36" i="8"/>
  <c r="BW18" i="8" s="1"/>
  <c r="BT18" i="8"/>
  <c r="AL27" i="9"/>
  <c r="T8" i="9" s="1"/>
  <c r="E103" i="19" s="1"/>
  <c r="AJ27" i="9"/>
  <c r="U220" i="13"/>
  <c r="W220" i="13" s="1"/>
  <c r="Z221" i="7"/>
  <c r="AB221" i="7" s="1"/>
  <c r="U258" i="13"/>
  <c r="W258" i="13" s="1"/>
  <c r="Z259" i="7"/>
  <c r="AB259" i="7" s="1"/>
  <c r="R288" i="13"/>
  <c r="I63" i="9"/>
  <c r="N46" i="9"/>
  <c r="L46" i="9"/>
  <c r="AB22" i="10"/>
  <c r="Q24" i="9"/>
  <c r="Q41" i="9" s="1"/>
  <c r="M277" i="13"/>
  <c r="O277" i="13" s="1"/>
  <c r="R278" i="7"/>
  <c r="T278" i="7" s="1"/>
  <c r="J281" i="13"/>
  <c r="I281" i="13"/>
  <c r="AW51" i="8"/>
  <c r="AS12" i="8"/>
  <c r="AU12" i="8" s="1"/>
  <c r="G69" i="19" s="1"/>
  <c r="V69" i="19" s="1"/>
  <c r="AE69" i="19" s="1"/>
  <c r="AD5" i="10"/>
  <c r="N108" i="19"/>
  <c r="E121" i="18"/>
  <c r="N70" i="19"/>
  <c r="E85" i="18"/>
  <c r="D98" i="21"/>
  <c r="H98" i="16"/>
  <c r="K98" i="16" s="1"/>
  <c r="AR30" i="16"/>
  <c r="AC31" i="19" s="1"/>
  <c r="D95" i="21"/>
  <c r="H95" i="16"/>
  <c r="K95" i="16" s="1"/>
  <c r="J40" i="13"/>
  <c r="I40" i="13"/>
  <c r="D37" i="5"/>
  <c r="E35" i="5" s="1"/>
  <c r="E37" i="5" s="1"/>
  <c r="C35" i="9" s="1"/>
  <c r="AL17" i="13"/>
  <c r="AL303" i="7"/>
  <c r="N137" i="13"/>
  <c r="J163" i="13"/>
  <c r="I163" i="13"/>
  <c r="K163" i="13" s="1"/>
  <c r="P163" i="13" s="1"/>
  <c r="J160" i="13"/>
  <c r="I160" i="13"/>
  <c r="K160" i="13" s="1"/>
  <c r="P160" i="13" s="1"/>
  <c r="J184" i="13"/>
  <c r="I184" i="13"/>
  <c r="K184" i="13" s="1"/>
  <c r="P184" i="13" s="1"/>
  <c r="J230" i="13"/>
  <c r="I230" i="13"/>
  <c r="K230" i="13" s="1"/>
  <c r="P230" i="13" s="1"/>
  <c r="F242" i="13"/>
  <c r="G242" i="13" s="1"/>
  <c r="J243" i="7"/>
  <c r="L243" i="7" s="1"/>
  <c r="AD11" i="13"/>
  <c r="AD297" i="7"/>
  <c r="AD6" i="13"/>
  <c r="AD292" i="7"/>
  <c r="AD16" i="13"/>
  <c r="AD302" i="7"/>
  <c r="AD22" i="13"/>
  <c r="AD308" i="7"/>
  <c r="J84" i="13"/>
  <c r="I84" i="13"/>
  <c r="K84" i="13" s="1"/>
  <c r="P84" i="13" s="1"/>
  <c r="M143" i="13"/>
  <c r="O143" i="13" s="1"/>
  <c r="R144" i="7"/>
  <c r="T144" i="7" s="1"/>
  <c r="L197" i="7"/>
  <c r="J214" i="7"/>
  <c r="AT61" i="13"/>
  <c r="U178" i="13"/>
  <c r="W178" i="13" s="1"/>
  <c r="Z179" i="7"/>
  <c r="AB179" i="7" s="1"/>
  <c r="U225" i="13"/>
  <c r="W225" i="13" s="1"/>
  <c r="Z225" i="13" s="1"/>
  <c r="Z226" i="7"/>
  <c r="AB226" i="7" s="1"/>
  <c r="J51" i="13"/>
  <c r="I51" i="13"/>
  <c r="F134" i="13"/>
  <c r="G134" i="13" s="1"/>
  <c r="J135" i="7"/>
  <c r="L135" i="7" s="1"/>
  <c r="F175" i="13"/>
  <c r="G158" i="13"/>
  <c r="J189" i="13"/>
  <c r="I189" i="13"/>
  <c r="J227" i="13"/>
  <c r="I227" i="13"/>
  <c r="M255" i="13"/>
  <c r="O255" i="13" s="1"/>
  <c r="R256" i="7"/>
  <c r="T256" i="7" s="1"/>
  <c r="AJ57" i="9"/>
  <c r="AL57" i="9" s="1"/>
  <c r="S16" i="9" s="1"/>
  <c r="D111" i="19" s="1"/>
  <c r="F244" i="13"/>
  <c r="G244" i="13" s="1"/>
  <c r="J245" i="7"/>
  <c r="L245" i="7" s="1"/>
  <c r="F245" i="13"/>
  <c r="G245" i="13" s="1"/>
  <c r="J246" i="7"/>
  <c r="L246" i="7" s="1"/>
  <c r="U259" i="13"/>
  <c r="W259" i="13" s="1"/>
  <c r="Z260" i="7"/>
  <c r="AB260" i="7" s="1"/>
  <c r="V7" i="19"/>
  <c r="AE7" i="19" s="1"/>
  <c r="S61" i="8"/>
  <c r="M268" i="13"/>
  <c r="O268" i="13" s="1"/>
  <c r="R268" i="13" s="1"/>
  <c r="R269" i="7"/>
  <c r="T269" i="7" s="1"/>
  <c r="U285" i="13"/>
  <c r="W285" i="13" s="1"/>
  <c r="Z286" i="7"/>
  <c r="AB286" i="7" s="1"/>
  <c r="V28" i="19"/>
  <c r="AE28" i="19" s="1"/>
  <c r="H63" i="9"/>
  <c r="J274" i="13"/>
  <c r="I274" i="13"/>
  <c r="K274" i="13" s="1"/>
  <c r="P274" i="13" s="1"/>
  <c r="Q282" i="13"/>
  <c r="S282" i="13" s="1"/>
  <c r="X282" i="13" s="1"/>
  <c r="BT57" i="8"/>
  <c r="R56" i="9"/>
  <c r="U56" i="9" s="1"/>
  <c r="AN22" i="10"/>
  <c r="BH10" i="10"/>
  <c r="T12" i="10"/>
  <c r="X178" i="13"/>
  <c r="Q178" i="13"/>
  <c r="S178" i="13" s="1"/>
  <c r="N13" i="19"/>
  <c r="E31" i="18"/>
  <c r="Q36" i="16"/>
  <c r="Q86" i="16"/>
  <c r="AR86" i="16" s="1"/>
  <c r="AC90" i="19" s="1"/>
  <c r="AU86" i="16"/>
  <c r="D104" i="18" s="1"/>
  <c r="H104" i="18" s="1"/>
  <c r="AT86" i="16"/>
  <c r="Y33" i="17"/>
  <c r="Z33" i="17" s="1"/>
  <c r="AC33" i="16" s="1"/>
  <c r="AL33" i="16" s="1"/>
  <c r="AC73" i="19"/>
  <c r="AT70" i="16"/>
  <c r="AY70" i="16"/>
  <c r="AU70" i="16"/>
  <c r="D88" i="18" s="1"/>
  <c r="H88" i="18" s="1"/>
  <c r="Q87" i="16"/>
  <c r="AR87" i="16" s="1"/>
  <c r="AC91" i="19" s="1"/>
  <c r="AT87" i="16"/>
  <c r="AU87" i="16"/>
  <c r="D105" i="18" s="1"/>
  <c r="H105" i="18" s="1"/>
  <c r="F54" i="22"/>
  <c r="M36" i="13"/>
  <c r="O36" i="13" s="1"/>
  <c r="R37" i="7"/>
  <c r="T37" i="7" s="1"/>
  <c r="F75" i="2"/>
  <c r="D99" i="2"/>
  <c r="D123" i="2" s="1"/>
  <c r="D53" i="2"/>
  <c r="D81" i="2" s="1"/>
  <c r="E29" i="2"/>
  <c r="E53" i="2" s="1"/>
  <c r="E81" i="2" s="1"/>
  <c r="AT17" i="13"/>
  <c r="AT303" i="7"/>
  <c r="J159" i="13"/>
  <c r="I159" i="13"/>
  <c r="J164" i="13"/>
  <c r="I164" i="13"/>
  <c r="F194" i="13"/>
  <c r="G177" i="13"/>
  <c r="M226" i="13"/>
  <c r="O226" i="13" s="1"/>
  <c r="R227" i="7"/>
  <c r="T227" i="7" s="1"/>
  <c r="M54" i="13"/>
  <c r="O54" i="13" s="1"/>
  <c r="R55" i="7"/>
  <c r="T55" i="7" s="1"/>
  <c r="M49" i="13"/>
  <c r="O49" i="13" s="1"/>
  <c r="R50" i="7"/>
  <c r="T50" i="7" s="1"/>
  <c r="U97" i="13"/>
  <c r="W97" i="13" s="1"/>
  <c r="Z98" i="7"/>
  <c r="AB98" i="7" s="1"/>
  <c r="R146" i="13"/>
  <c r="Q214" i="7"/>
  <c r="S197" i="7"/>
  <c r="U210" i="13"/>
  <c r="W210" i="13" s="1"/>
  <c r="Z211" i="7"/>
  <c r="AB211" i="7" s="1"/>
  <c r="Q7" i="7"/>
  <c r="K24" i="7"/>
  <c r="F11" i="13"/>
  <c r="G11" i="13" s="1"/>
  <c r="F297" i="7"/>
  <c r="J297" i="7" s="1"/>
  <c r="L297" i="7" s="1"/>
  <c r="R297" i="7" s="1"/>
  <c r="T297" i="7" s="1"/>
  <c r="Z297" i="7" s="1"/>
  <c r="AB297" i="7" s="1"/>
  <c r="J12" i="7"/>
  <c r="L12" i="7" s="1"/>
  <c r="AL19" i="13"/>
  <c r="AL305" i="7"/>
  <c r="F20" i="13"/>
  <c r="G20" i="13" s="1"/>
  <c r="F306" i="7"/>
  <c r="J306" i="7" s="1"/>
  <c r="L306" i="7" s="1"/>
  <c r="R306" i="7" s="1"/>
  <c r="T306" i="7" s="1"/>
  <c r="Z306" i="7" s="1"/>
  <c r="AB306" i="7" s="1"/>
  <c r="AH306" i="7" s="1"/>
  <c r="AJ306" i="7" s="1"/>
  <c r="AP306" i="7" s="1"/>
  <c r="AR306" i="7" s="1"/>
  <c r="AX306" i="7" s="1"/>
  <c r="J21" i="7"/>
  <c r="L21" i="7" s="1"/>
  <c r="F18" i="13"/>
  <c r="G18" i="13" s="1"/>
  <c r="F304" i="7"/>
  <c r="J304" i="7" s="1"/>
  <c r="L304" i="7" s="1"/>
  <c r="R304" i="7" s="1"/>
  <c r="T304" i="7" s="1"/>
  <c r="Z304" i="7" s="1"/>
  <c r="AB304" i="7" s="1"/>
  <c r="AH304" i="7" s="1"/>
  <c r="AJ304" i="7" s="1"/>
  <c r="AP304" i="7" s="1"/>
  <c r="AR304" i="7" s="1"/>
  <c r="AX304" i="7" s="1"/>
  <c r="J19" i="7"/>
  <c r="L19" i="7" s="1"/>
  <c r="AL14" i="13"/>
  <c r="AL300" i="7"/>
  <c r="AL16" i="13"/>
  <c r="AL302" i="7"/>
  <c r="AQ22" i="10"/>
  <c r="F79" i="13"/>
  <c r="G79" i="13" s="1"/>
  <c r="J80" i="7"/>
  <c r="L80" i="7" s="1"/>
  <c r="J98" i="13"/>
  <c r="I98" i="13"/>
  <c r="K98" i="13" s="1"/>
  <c r="P98" i="13" s="1"/>
  <c r="F136" i="13"/>
  <c r="G136" i="13" s="1"/>
  <c r="J137" i="7"/>
  <c r="L137" i="7" s="1"/>
  <c r="J155" i="13"/>
  <c r="I155" i="13"/>
  <c r="K155" i="13" s="1"/>
  <c r="P155" i="13" s="1"/>
  <c r="M205" i="13"/>
  <c r="O205" i="13" s="1"/>
  <c r="R205" i="13" s="1"/>
  <c r="R206" i="7"/>
  <c r="T206" i="7" s="1"/>
  <c r="J229" i="13"/>
  <c r="I229" i="13"/>
  <c r="K229" i="13" s="1"/>
  <c r="P229" i="13" s="1"/>
  <c r="F65" i="13"/>
  <c r="G65" i="13" s="1"/>
  <c r="J66" i="7"/>
  <c r="L66" i="7" s="1"/>
  <c r="I95" i="13"/>
  <c r="J95" i="13"/>
  <c r="M174" i="13"/>
  <c r="O174" i="13" s="1"/>
  <c r="R175" i="7"/>
  <c r="T175" i="7" s="1"/>
  <c r="M212" i="13"/>
  <c r="O212" i="13" s="1"/>
  <c r="R212" i="13" s="1"/>
  <c r="R213" i="7"/>
  <c r="T213" i="7" s="1"/>
  <c r="J263" i="13"/>
  <c r="I263" i="13"/>
  <c r="K263" i="13" s="1"/>
  <c r="P263" i="13" s="1"/>
  <c r="V71" i="19"/>
  <c r="AE71" i="19" s="1"/>
  <c r="U182" i="13"/>
  <c r="W182" i="13" s="1"/>
  <c r="Z183" i="7"/>
  <c r="AB183" i="7" s="1"/>
  <c r="J265" i="13"/>
  <c r="I265" i="13"/>
  <c r="R286" i="13"/>
  <c r="AS44" i="8"/>
  <c r="AC41" i="9"/>
  <c r="M279" i="13"/>
  <c r="O279" i="13" s="1"/>
  <c r="R280" i="7"/>
  <c r="T280" i="7" s="1"/>
  <c r="BT59" i="8"/>
  <c r="T60" i="9"/>
  <c r="R60" i="9"/>
  <c r="U60" i="9" s="1"/>
  <c r="E40" i="8"/>
  <c r="AX13" i="10"/>
  <c r="J15" i="10"/>
  <c r="AD16" i="10"/>
  <c r="AX17" i="10"/>
  <c r="J19" i="10"/>
  <c r="AD20" i="10"/>
  <c r="AX21" i="10"/>
  <c r="F108" i="21"/>
  <c r="M38" i="19"/>
  <c r="F59" i="21"/>
  <c r="F72" i="21" s="1"/>
  <c r="O76" i="14"/>
  <c r="N73" i="19"/>
  <c r="E88" i="18"/>
  <c r="N95" i="14"/>
  <c r="N100" i="14"/>
  <c r="N114" i="14" s="1"/>
  <c r="AT79" i="16"/>
  <c r="Q79" i="16"/>
  <c r="AR79" i="16" s="1"/>
  <c r="AC83" i="19" s="1"/>
  <c r="AU79" i="16"/>
  <c r="D97" i="18" s="1"/>
  <c r="H97" i="18" s="1"/>
  <c r="D103" i="21"/>
  <c r="H103" i="16"/>
  <c r="K103" i="16" s="1"/>
  <c r="Z5" i="16"/>
  <c r="AK5" i="16"/>
  <c r="AN5" i="16" s="1"/>
  <c r="AQ5" i="16" s="1"/>
  <c r="Y60" i="17"/>
  <c r="Z60" i="17"/>
  <c r="AG60" i="8"/>
  <c r="AP60" i="8" s="1"/>
  <c r="AI60" i="8"/>
  <c r="AK60" i="8" s="1"/>
  <c r="J132" i="13"/>
  <c r="I132" i="13"/>
  <c r="K132" i="13" s="1"/>
  <c r="P132" i="13" s="1"/>
  <c r="L31" i="9"/>
  <c r="O31" i="9" s="1"/>
  <c r="N31" i="9"/>
  <c r="H12" i="9" s="1"/>
  <c r="E31" i="19" s="1"/>
  <c r="L39" i="9"/>
  <c r="O39" i="9" s="1"/>
  <c r="N39" i="9"/>
  <c r="AT299" i="7"/>
  <c r="K207" i="13" l="1"/>
  <c r="P207" i="13" s="1"/>
  <c r="G50" i="22"/>
  <c r="H50" i="22" s="1"/>
  <c r="AR50" i="16"/>
  <c r="Y191" i="13"/>
  <c r="BC44" i="8"/>
  <c r="AU44" i="8"/>
  <c r="Y282" i="13"/>
  <c r="AT15" i="16"/>
  <c r="AO15" i="16"/>
  <c r="AT17" i="16"/>
  <c r="AO17" i="16"/>
  <c r="Y93" i="13"/>
  <c r="AT35" i="16"/>
  <c r="AO35" i="16"/>
  <c r="AT16" i="16"/>
  <c r="AO16" i="16"/>
  <c r="Y183" i="13"/>
  <c r="G42" i="22"/>
  <c r="H42" i="22" s="1"/>
  <c r="AR42" i="16"/>
  <c r="AT33" i="16"/>
  <c r="AO33" i="16"/>
  <c r="AT26" i="16"/>
  <c r="AO26" i="16"/>
  <c r="Y182" i="13"/>
  <c r="AB5" i="19"/>
  <c r="AB19" i="19" s="1"/>
  <c r="AQ18" i="16"/>
  <c r="Q155" i="13"/>
  <c r="M20" i="13"/>
  <c r="O20" i="13" s="1"/>
  <c r="R21" i="7"/>
  <c r="T21" i="7" s="1"/>
  <c r="Y197" i="7"/>
  <c r="S214" i="7"/>
  <c r="C105" i="18"/>
  <c r="AV87" i="16"/>
  <c r="Z56" i="9"/>
  <c r="M15" i="9" s="1"/>
  <c r="D72" i="19" s="1"/>
  <c r="X56" i="9"/>
  <c r="AA56" i="9" s="1"/>
  <c r="J244" i="13"/>
  <c r="I244" i="13"/>
  <c r="K244" i="13" s="1"/>
  <c r="P244" i="13" s="1"/>
  <c r="Q230" i="13"/>
  <c r="F35" i="9"/>
  <c r="I35" i="9" s="1"/>
  <c r="N63" i="9"/>
  <c r="G5" i="9"/>
  <c r="Q132" i="13"/>
  <c r="Q263" i="13"/>
  <c r="U174" i="13"/>
  <c r="W174" i="13" s="1"/>
  <c r="Z175" i="7"/>
  <c r="AB175" i="7" s="1"/>
  <c r="M65" i="13"/>
  <c r="O65" i="13" s="1"/>
  <c r="R66" i="7"/>
  <c r="T66" i="7" s="1"/>
  <c r="U205" i="13"/>
  <c r="W205" i="13" s="1"/>
  <c r="Z206" i="7"/>
  <c r="AB206" i="7" s="1"/>
  <c r="M136" i="13"/>
  <c r="O136" i="13" s="1"/>
  <c r="R137" i="7"/>
  <c r="T137" i="7" s="1"/>
  <c r="M79" i="13"/>
  <c r="O79" i="13" s="1"/>
  <c r="R80" i="7"/>
  <c r="T80" i="7" s="1"/>
  <c r="AH297" i="7"/>
  <c r="AJ297" i="7" s="1"/>
  <c r="AP297" i="7" s="1"/>
  <c r="AR297" i="7" s="1"/>
  <c r="AX297" i="7" s="1"/>
  <c r="AC210" i="13"/>
  <c r="AE210" i="13" s="1"/>
  <c r="AH211" i="7"/>
  <c r="AJ211" i="7" s="1"/>
  <c r="R226" i="13"/>
  <c r="Q274" i="13"/>
  <c r="AC285" i="13"/>
  <c r="AE285" i="13" s="1"/>
  <c r="AH286" i="7"/>
  <c r="AJ286" i="7" s="1"/>
  <c r="I245" i="13"/>
  <c r="J245" i="13"/>
  <c r="Z178" i="13"/>
  <c r="AD309" i="7"/>
  <c r="M242" i="13"/>
  <c r="O242" i="13" s="1"/>
  <c r="R243" i="7"/>
  <c r="T243" i="7" s="1"/>
  <c r="Q163" i="13"/>
  <c r="S163" i="13" s="1"/>
  <c r="X163" i="13" s="1"/>
  <c r="AD22" i="10"/>
  <c r="M68" i="13"/>
  <c r="O68" i="13" s="1"/>
  <c r="R69" i="7"/>
  <c r="T69" i="7" s="1"/>
  <c r="U152" i="13"/>
  <c r="W152" i="13" s="1"/>
  <c r="Z153" i="7"/>
  <c r="AB153" i="7" s="1"/>
  <c r="AC257" i="13"/>
  <c r="AE257" i="13" s="1"/>
  <c r="AH258" i="7"/>
  <c r="AJ258" i="7" s="1"/>
  <c r="M71" i="13"/>
  <c r="O71" i="13" s="1"/>
  <c r="R72" i="7"/>
  <c r="T72" i="7" s="1"/>
  <c r="V309" i="7"/>
  <c r="AC197" i="13"/>
  <c r="AE197" i="13" s="1"/>
  <c r="AH198" i="7"/>
  <c r="AJ198" i="7" s="1"/>
  <c r="E39" i="5"/>
  <c r="R39" i="9"/>
  <c r="U39" i="9" s="1"/>
  <c r="T39" i="9"/>
  <c r="Q103" i="16"/>
  <c r="AR103" i="16" s="1"/>
  <c r="AC108" i="19" s="1"/>
  <c r="AU103" i="16"/>
  <c r="D121" i="18" s="1"/>
  <c r="H121" i="18" s="1"/>
  <c r="AT103" i="16"/>
  <c r="C97" i="18"/>
  <c r="AV79" i="16"/>
  <c r="X60" i="9"/>
  <c r="AA60" i="9" s="1"/>
  <c r="U279" i="13"/>
  <c r="W279" i="13" s="1"/>
  <c r="Z280" i="7"/>
  <c r="AB280" i="7" s="1"/>
  <c r="K265" i="13"/>
  <c r="P265" i="13" s="1"/>
  <c r="AC182" i="13"/>
  <c r="AE182" i="13" s="1"/>
  <c r="AH183" i="7"/>
  <c r="AJ183" i="7" s="1"/>
  <c r="J65" i="13"/>
  <c r="I65" i="13"/>
  <c r="K65" i="13" s="1"/>
  <c r="P65" i="13" s="1"/>
  <c r="J136" i="13"/>
  <c r="I136" i="13"/>
  <c r="J79" i="13"/>
  <c r="I79" i="13"/>
  <c r="K79" i="13" s="1"/>
  <c r="P79" i="13" s="1"/>
  <c r="I18" i="13"/>
  <c r="K18" i="13" s="1"/>
  <c r="P18" i="13" s="1"/>
  <c r="J18" i="13"/>
  <c r="J11" i="13"/>
  <c r="I11" i="13"/>
  <c r="K11" i="13" s="1"/>
  <c r="P11" i="13" s="1"/>
  <c r="AC97" i="13"/>
  <c r="AE97" i="13" s="1"/>
  <c r="AH98" i="7"/>
  <c r="AJ98" i="7" s="1"/>
  <c r="U54" i="13"/>
  <c r="W54" i="13" s="1"/>
  <c r="Z55" i="7"/>
  <c r="AB55" i="7" s="1"/>
  <c r="J177" i="13"/>
  <c r="J194" i="13" s="1"/>
  <c r="G194" i="13"/>
  <c r="I177" i="13"/>
  <c r="K159" i="13"/>
  <c r="P159" i="13" s="1"/>
  <c r="G81" i="2"/>
  <c r="E105" i="2"/>
  <c r="E129" i="2" s="1"/>
  <c r="U36" i="13"/>
  <c r="W36" i="13" s="1"/>
  <c r="Z37" i="7"/>
  <c r="AB37" i="7" s="1"/>
  <c r="AC259" i="13"/>
  <c r="AE259" i="13" s="1"/>
  <c r="AH260" i="7"/>
  <c r="AJ260" i="7" s="1"/>
  <c r="M244" i="13"/>
  <c r="O244" i="13" s="1"/>
  <c r="R244" i="13" s="1"/>
  <c r="R245" i="7"/>
  <c r="T245" i="7" s="1"/>
  <c r="U255" i="13"/>
  <c r="W255" i="13" s="1"/>
  <c r="Z256" i="7"/>
  <c r="AB256" i="7" s="1"/>
  <c r="K189" i="13"/>
  <c r="P189" i="13" s="1"/>
  <c r="M134" i="13"/>
  <c r="O134" i="13" s="1"/>
  <c r="R135" i="7"/>
  <c r="T135" i="7" s="1"/>
  <c r="AC225" i="13"/>
  <c r="AE225" i="13" s="1"/>
  <c r="AH226" i="7"/>
  <c r="AJ226" i="7" s="1"/>
  <c r="AD23" i="13"/>
  <c r="J242" i="13"/>
  <c r="I242" i="13"/>
  <c r="D39" i="5"/>
  <c r="N108" i="16"/>
  <c r="T108" i="16"/>
  <c r="K108" i="16"/>
  <c r="W108" i="16" s="1"/>
  <c r="Q95" i="16"/>
  <c r="AT95" i="16"/>
  <c r="AU95" i="16"/>
  <c r="U277" i="13"/>
  <c r="W277" i="13" s="1"/>
  <c r="Z278" i="7"/>
  <c r="AB278" i="7" s="1"/>
  <c r="L63" i="9"/>
  <c r="O46" i="9"/>
  <c r="AC258" i="13"/>
  <c r="AE258" i="13" s="1"/>
  <c r="AH259" i="7"/>
  <c r="AJ259" i="7" s="1"/>
  <c r="J133" i="13"/>
  <c r="I133" i="13"/>
  <c r="J68" i="13"/>
  <c r="I68" i="13"/>
  <c r="K68" i="13" s="1"/>
  <c r="P68" i="13" s="1"/>
  <c r="K145" i="13"/>
  <c r="P145" i="13" s="1"/>
  <c r="J71" i="13"/>
  <c r="I71" i="13"/>
  <c r="V23" i="13"/>
  <c r="K28" i="13"/>
  <c r="P28" i="13" s="1"/>
  <c r="U29" i="13"/>
  <c r="W29" i="13" s="1"/>
  <c r="Z30" i="7"/>
  <c r="AB30" i="7" s="1"/>
  <c r="U199" i="13"/>
  <c r="W199" i="13" s="1"/>
  <c r="Z200" i="7"/>
  <c r="AB200" i="7" s="1"/>
  <c r="AC191" i="13"/>
  <c r="AE191" i="13" s="1"/>
  <c r="AH192" i="7"/>
  <c r="AJ192" i="7" s="1"/>
  <c r="M124" i="13"/>
  <c r="O124" i="13" s="1"/>
  <c r="R125" i="7"/>
  <c r="T125" i="7" s="1"/>
  <c r="K222" i="13"/>
  <c r="P222" i="13" s="1"/>
  <c r="C103" i="18"/>
  <c r="AV85" i="16"/>
  <c r="Q283" i="13"/>
  <c r="S283" i="13" s="1"/>
  <c r="X283" i="13" s="1"/>
  <c r="L36" i="9"/>
  <c r="O36" i="9" s="1"/>
  <c r="AC286" i="13"/>
  <c r="AE286" i="13" s="1"/>
  <c r="AH287" i="7"/>
  <c r="AJ287" i="7" s="1"/>
  <c r="X55" i="8"/>
  <c r="S16" i="8"/>
  <c r="V61" i="8"/>
  <c r="Q220" i="13"/>
  <c r="K193" i="13"/>
  <c r="P193" i="13" s="1"/>
  <c r="U95" i="13"/>
  <c r="W95" i="13" s="1"/>
  <c r="Z96" i="7"/>
  <c r="AB96" i="7" s="1"/>
  <c r="U229" i="13"/>
  <c r="W229" i="13" s="1"/>
  <c r="Z230" i="7"/>
  <c r="AB230" i="7" s="1"/>
  <c r="J138" i="7"/>
  <c r="L121" i="7"/>
  <c r="J81" i="7"/>
  <c r="L64" i="7"/>
  <c r="M10" i="13"/>
  <c r="O10" i="13" s="1"/>
  <c r="R11" i="7"/>
  <c r="T11" i="7" s="1"/>
  <c r="AH302" i="7"/>
  <c r="AJ302" i="7" s="1"/>
  <c r="AP302" i="7" s="1"/>
  <c r="AR302" i="7" s="1"/>
  <c r="AX302" i="7" s="1"/>
  <c r="J19" i="13"/>
  <c r="I19" i="13"/>
  <c r="K19" i="13" s="1"/>
  <c r="P19" i="13" s="1"/>
  <c r="J243" i="13"/>
  <c r="I243" i="13"/>
  <c r="K60" i="13"/>
  <c r="P60" i="13" s="1"/>
  <c r="K31" i="13"/>
  <c r="P31" i="13" s="1"/>
  <c r="F79" i="2"/>
  <c r="D103" i="2"/>
  <c r="D127" i="2" s="1"/>
  <c r="K34" i="13"/>
  <c r="P34" i="13" s="1"/>
  <c r="Q99" i="16"/>
  <c r="AR99" i="16" s="1"/>
  <c r="AC104" i="19" s="1"/>
  <c r="AU99" i="16"/>
  <c r="D117" i="18" s="1"/>
  <c r="H117" i="18" s="1"/>
  <c r="AT99" i="16"/>
  <c r="Z294" i="7"/>
  <c r="AB294" i="7" s="1"/>
  <c r="AH294" i="7" s="1"/>
  <c r="AJ294" i="7" s="1"/>
  <c r="AP294" i="7" s="1"/>
  <c r="AR294" i="7" s="1"/>
  <c r="AX294" i="7" s="1"/>
  <c r="Z50" i="9"/>
  <c r="M9" i="9" s="1"/>
  <c r="D66" i="19" s="1"/>
  <c r="X50" i="9"/>
  <c r="AA50" i="9" s="1"/>
  <c r="I241" i="13"/>
  <c r="J241" i="13"/>
  <c r="U189" i="13"/>
  <c r="W189" i="13" s="1"/>
  <c r="Z190" i="7"/>
  <c r="AB190" i="7" s="1"/>
  <c r="K209" i="13"/>
  <c r="P209" i="13" s="1"/>
  <c r="U84" i="13"/>
  <c r="W84" i="13" s="1"/>
  <c r="Z85" i="7"/>
  <c r="AB85" i="7" s="1"/>
  <c r="K58" i="13"/>
  <c r="P58" i="13" s="1"/>
  <c r="U184" i="13"/>
  <c r="W184" i="13" s="1"/>
  <c r="Z185" i="7"/>
  <c r="AB185" i="7" s="1"/>
  <c r="U163" i="13"/>
  <c r="W163" i="13" s="1"/>
  <c r="Z164" i="7"/>
  <c r="AB164" i="7" s="1"/>
  <c r="M17" i="13"/>
  <c r="O17" i="13" s="1"/>
  <c r="R18" i="7"/>
  <c r="T18" i="7" s="1"/>
  <c r="U40" i="13"/>
  <c r="W40" i="13" s="1"/>
  <c r="Z41" i="7"/>
  <c r="AB41" i="7" s="1"/>
  <c r="D77" i="18"/>
  <c r="AR77" i="16"/>
  <c r="Q90" i="16"/>
  <c r="C98" i="18"/>
  <c r="AV80" i="16"/>
  <c r="Q210" i="13"/>
  <c r="BJ51" i="8"/>
  <c r="BF12" i="8"/>
  <c r="BH12" i="8" s="1"/>
  <c r="G88" i="19" s="1"/>
  <c r="V88" i="19" s="1"/>
  <c r="AC288" i="13"/>
  <c r="AE288" i="13" s="1"/>
  <c r="AH289" i="7"/>
  <c r="AJ289" i="7" s="1"/>
  <c r="J131" i="13"/>
  <c r="I131" i="13"/>
  <c r="I66" i="13"/>
  <c r="J66" i="13"/>
  <c r="J239" i="13"/>
  <c r="I239" i="13"/>
  <c r="K203" i="13"/>
  <c r="P203" i="13" s="1"/>
  <c r="J128" i="13"/>
  <c r="I128" i="13"/>
  <c r="K128" i="13" s="1"/>
  <c r="P128" i="13" s="1"/>
  <c r="Z93" i="13"/>
  <c r="R172" i="13"/>
  <c r="U37" i="13"/>
  <c r="W37" i="13" s="1"/>
  <c r="Z38" i="7"/>
  <c r="AB38" i="7" s="1"/>
  <c r="G11" i="22"/>
  <c r="H11" i="22" s="1"/>
  <c r="AR11" i="16"/>
  <c r="AC11" i="19" s="1"/>
  <c r="Q102" i="16"/>
  <c r="AR102" i="16" s="1"/>
  <c r="AC107" i="19" s="1"/>
  <c r="AU102" i="16"/>
  <c r="D120" i="18" s="1"/>
  <c r="H120" i="18" s="1"/>
  <c r="AT102" i="16"/>
  <c r="Q197" i="13"/>
  <c r="AF25" i="9"/>
  <c r="Q6" i="9" s="1"/>
  <c r="E82" i="19" s="1"/>
  <c r="U260" i="13"/>
  <c r="W260" i="13" s="1"/>
  <c r="Z261" i="7"/>
  <c r="AB261" i="7" s="1"/>
  <c r="K180" i="13"/>
  <c r="P180" i="13" s="1"/>
  <c r="U83" i="13"/>
  <c r="W83" i="13" s="1"/>
  <c r="Z84" i="7"/>
  <c r="AB84" i="7" s="1"/>
  <c r="U92" i="13"/>
  <c r="W92" i="13" s="1"/>
  <c r="Z93" i="7"/>
  <c r="AB93" i="7" s="1"/>
  <c r="U192" i="13"/>
  <c r="W192" i="13" s="1"/>
  <c r="Z193" i="7"/>
  <c r="AB193" i="7" s="1"/>
  <c r="U171" i="13"/>
  <c r="W171" i="13" s="1"/>
  <c r="Z172" i="7"/>
  <c r="AB172" i="7" s="1"/>
  <c r="U32" i="13"/>
  <c r="W32" i="13" s="1"/>
  <c r="Z33" i="7"/>
  <c r="AB33" i="7" s="1"/>
  <c r="S187" i="13"/>
  <c r="X187" i="13" s="1"/>
  <c r="L38" i="9"/>
  <c r="O38" i="9" s="1"/>
  <c r="N38" i="9"/>
  <c r="U180" i="13"/>
  <c r="W180" i="13" s="1"/>
  <c r="Z181" i="7"/>
  <c r="AB181" i="7" s="1"/>
  <c r="AC183" i="13"/>
  <c r="AE183" i="13" s="1"/>
  <c r="AH184" i="7"/>
  <c r="AJ184" i="7" s="1"/>
  <c r="S252" i="7"/>
  <c r="Y235" i="7"/>
  <c r="K173" i="13"/>
  <c r="P173" i="13" s="1"/>
  <c r="G27" i="22"/>
  <c r="H27" i="22" s="1"/>
  <c r="AR27" i="16"/>
  <c r="AC28" i="19" s="1"/>
  <c r="N29" i="9"/>
  <c r="H10" i="9" s="1"/>
  <c r="E29" i="19" s="1"/>
  <c r="K75" i="13"/>
  <c r="P75" i="13" s="1"/>
  <c r="AQ54" i="16"/>
  <c r="C107" i="18"/>
  <c r="AV89" i="16"/>
  <c r="K279" i="13"/>
  <c r="P279" i="13" s="1"/>
  <c r="U264" i="13"/>
  <c r="W264" i="13" s="1"/>
  <c r="Z265" i="7"/>
  <c r="AB265" i="7" s="1"/>
  <c r="J24" i="7"/>
  <c r="L7" i="7"/>
  <c r="J252" i="7"/>
  <c r="L235" i="7"/>
  <c r="R45" i="13"/>
  <c r="K179" i="13"/>
  <c r="P179" i="13" s="1"/>
  <c r="G77" i="2"/>
  <c r="E101" i="2"/>
  <c r="E125" i="2" s="1"/>
  <c r="U34" i="13"/>
  <c r="W34" i="13" s="1"/>
  <c r="Z35" i="7"/>
  <c r="AB35" i="7" s="1"/>
  <c r="S146" i="13"/>
  <c r="X146" i="13" s="1"/>
  <c r="U274" i="13"/>
  <c r="W274" i="13" s="1"/>
  <c r="Z275" i="7"/>
  <c r="AB275" i="7" s="1"/>
  <c r="G24" i="19"/>
  <c r="Q176" i="7"/>
  <c r="S159" i="7"/>
  <c r="I249" i="13"/>
  <c r="J249" i="13"/>
  <c r="U91" i="13"/>
  <c r="W91" i="13" s="1"/>
  <c r="Z92" i="7"/>
  <c r="AB92" i="7" s="1"/>
  <c r="AC187" i="13"/>
  <c r="AE187" i="13" s="1"/>
  <c r="AH188" i="7"/>
  <c r="AJ188" i="7" s="1"/>
  <c r="U209" i="13"/>
  <c r="W209" i="13" s="1"/>
  <c r="Z210" i="7"/>
  <c r="AB210" i="7" s="1"/>
  <c r="K86" i="13"/>
  <c r="P86" i="13" s="1"/>
  <c r="U58" i="13"/>
  <c r="W58" i="13" s="1"/>
  <c r="Z59" i="7"/>
  <c r="AB59" i="7" s="1"/>
  <c r="K181" i="13"/>
  <c r="P181" i="13" s="1"/>
  <c r="R181" i="13" s="1"/>
  <c r="U27" i="13"/>
  <c r="W27" i="13" s="1"/>
  <c r="Z28" i="7"/>
  <c r="AB28" i="7" s="1"/>
  <c r="K38" i="13"/>
  <c r="P38" i="13" s="1"/>
  <c r="P26" i="15"/>
  <c r="T44" i="14"/>
  <c r="Y44" i="14" s="1"/>
  <c r="U262" i="13"/>
  <c r="W262" i="13" s="1"/>
  <c r="Z263" i="7"/>
  <c r="AB263" i="7" s="1"/>
  <c r="Q271" i="7"/>
  <c r="S254" i="7"/>
  <c r="BW5" i="8"/>
  <c r="BW19" i="8" s="1"/>
  <c r="BV40" i="8"/>
  <c r="I127" i="13"/>
  <c r="J127" i="13"/>
  <c r="I78" i="13"/>
  <c r="K78" i="13" s="1"/>
  <c r="P78" i="13" s="1"/>
  <c r="J78" i="13"/>
  <c r="S216" i="13"/>
  <c r="X216" i="13" s="1"/>
  <c r="M25" i="13"/>
  <c r="L43" i="7"/>
  <c r="A42" i="18" s="1"/>
  <c r="F42" i="18" s="1"/>
  <c r="R26" i="7"/>
  <c r="M7" i="13"/>
  <c r="O7" i="13" s="1"/>
  <c r="R8" i="7"/>
  <c r="T8" i="7" s="1"/>
  <c r="M215" i="13"/>
  <c r="R216" i="7"/>
  <c r="L233" i="7"/>
  <c r="A51" i="18" s="1"/>
  <c r="F51" i="18" s="1"/>
  <c r="Q106" i="16"/>
  <c r="AR106" i="16" s="1"/>
  <c r="AC111" i="19" s="1"/>
  <c r="AU106" i="16"/>
  <c r="D124" i="18" s="1"/>
  <c r="H124" i="18" s="1"/>
  <c r="AT106" i="16"/>
  <c r="BJ47" i="8"/>
  <c r="BF8" i="8"/>
  <c r="BH8" i="8" s="1"/>
  <c r="G84" i="19" s="1"/>
  <c r="G289" i="13"/>
  <c r="I272" i="13"/>
  <c r="J272" i="13"/>
  <c r="J289" i="13" s="1"/>
  <c r="K266" i="13"/>
  <c r="P266" i="13" s="1"/>
  <c r="R266" i="13" s="1"/>
  <c r="U148" i="13"/>
  <c r="W148" i="13" s="1"/>
  <c r="Z149" i="7"/>
  <c r="AB149" i="7" s="1"/>
  <c r="U75" i="13"/>
  <c r="W75" i="13" s="1"/>
  <c r="Z76" i="7"/>
  <c r="AB76" i="7" s="1"/>
  <c r="Q257" i="13"/>
  <c r="G43" i="19"/>
  <c r="U275" i="13"/>
  <c r="W275" i="13" s="1"/>
  <c r="Z276" i="7"/>
  <c r="AB276" i="7" s="1"/>
  <c r="Z54" i="9"/>
  <c r="M13" i="9" s="1"/>
  <c r="D70" i="19" s="1"/>
  <c r="V70" i="19" s="1"/>
  <c r="AE70" i="19" s="1"/>
  <c r="X54" i="9"/>
  <c r="AA54" i="9" s="1"/>
  <c r="J122" i="13"/>
  <c r="I122" i="13"/>
  <c r="R153" i="13"/>
  <c r="R96" i="13"/>
  <c r="M12" i="13"/>
  <c r="O12" i="13" s="1"/>
  <c r="R13" i="7"/>
  <c r="T13" i="7" s="1"/>
  <c r="R210" i="13"/>
  <c r="K49" i="13"/>
  <c r="P49" i="13" s="1"/>
  <c r="K226" i="13"/>
  <c r="P226" i="13" s="1"/>
  <c r="U190" i="13"/>
  <c r="W190" i="13" s="1"/>
  <c r="Z191" i="7"/>
  <c r="AB191" i="7" s="1"/>
  <c r="G76" i="2"/>
  <c r="E100" i="2"/>
  <c r="E124" i="2" s="1"/>
  <c r="Q105" i="16"/>
  <c r="AR105" i="16" s="1"/>
  <c r="AC110" i="19" s="1"/>
  <c r="AU105" i="16"/>
  <c r="D123" i="18" s="1"/>
  <c r="H123" i="18" s="1"/>
  <c r="AT105" i="16"/>
  <c r="U278" i="13"/>
  <c r="W278" i="13" s="1"/>
  <c r="Z279" i="7"/>
  <c r="AB279" i="7" s="1"/>
  <c r="G5" i="19"/>
  <c r="G19" i="19" s="1"/>
  <c r="H19" i="8"/>
  <c r="J248" i="13"/>
  <c r="I248" i="13"/>
  <c r="K248" i="13" s="1"/>
  <c r="P248" i="13" s="1"/>
  <c r="U208" i="13"/>
  <c r="W208" i="13" s="1"/>
  <c r="Z209" i="7"/>
  <c r="AB209" i="7" s="1"/>
  <c r="U140" i="13"/>
  <c r="W140" i="13" s="1"/>
  <c r="Z141" i="7"/>
  <c r="AB141" i="7" s="1"/>
  <c r="G213" i="13"/>
  <c r="I196" i="13"/>
  <c r="K196" i="13" s="1"/>
  <c r="J196" i="13"/>
  <c r="J213" i="13" s="1"/>
  <c r="U86" i="13"/>
  <c r="W86" i="13" s="1"/>
  <c r="Z87" i="7"/>
  <c r="AB87" i="7" s="1"/>
  <c r="U224" i="13"/>
  <c r="W224" i="13" s="1"/>
  <c r="Z225" i="7"/>
  <c r="AB225" i="7" s="1"/>
  <c r="U165" i="13"/>
  <c r="W165" i="13" s="1"/>
  <c r="Z166" i="7"/>
  <c r="AB166" i="7" s="1"/>
  <c r="U38" i="13"/>
  <c r="W38" i="13" s="1"/>
  <c r="Z39" i="7"/>
  <c r="AB39" i="7" s="1"/>
  <c r="C81" i="18"/>
  <c r="AV63" i="16"/>
  <c r="Q221" i="13"/>
  <c r="S221" i="13" s="1"/>
  <c r="X221" i="13"/>
  <c r="K277" i="13"/>
  <c r="P277" i="13" s="1"/>
  <c r="T62" i="9"/>
  <c r="AC284" i="13"/>
  <c r="AE284" i="13" s="1"/>
  <c r="AH285" i="7"/>
  <c r="AJ285" i="7" s="1"/>
  <c r="J123" i="13"/>
  <c r="I123" i="13"/>
  <c r="I74" i="13"/>
  <c r="K74" i="13" s="1"/>
  <c r="P74" i="13" s="1"/>
  <c r="J74" i="13"/>
  <c r="BF56" i="8"/>
  <c r="BP56" i="8" s="1"/>
  <c r="BH56" i="8"/>
  <c r="I130" i="13"/>
  <c r="K130" i="13" s="1"/>
  <c r="P130" i="13" s="1"/>
  <c r="J130" i="13"/>
  <c r="R147" i="13"/>
  <c r="K46" i="13"/>
  <c r="P46" i="13" s="1"/>
  <c r="AC85" i="13"/>
  <c r="AE85" i="13" s="1"/>
  <c r="AH86" i="7"/>
  <c r="AJ86" i="7" s="1"/>
  <c r="K217" i="13"/>
  <c r="P217" i="13" s="1"/>
  <c r="U188" i="13"/>
  <c r="W188" i="13" s="1"/>
  <c r="Z189" i="7"/>
  <c r="AB189" i="7" s="1"/>
  <c r="U39" i="13"/>
  <c r="W39" i="13" s="1"/>
  <c r="Z40" i="7"/>
  <c r="AB40" i="7" s="1"/>
  <c r="C35" i="8"/>
  <c r="D30" i="6"/>
  <c r="D32" i="6" s="1"/>
  <c r="K29" i="13"/>
  <c r="P29" i="13" s="1"/>
  <c r="R29" i="13" s="1"/>
  <c r="T48" i="9"/>
  <c r="J7" i="9" s="1"/>
  <c r="D45" i="19" s="1"/>
  <c r="V45" i="19" s="1"/>
  <c r="AE45" i="19" s="1"/>
  <c r="T58" i="9"/>
  <c r="J17" i="9" s="1"/>
  <c r="D55" i="19" s="1"/>
  <c r="V55" i="19" s="1"/>
  <c r="AE55" i="19" s="1"/>
  <c r="AC287" i="13"/>
  <c r="AE287" i="13" s="1"/>
  <c r="AH288" i="7"/>
  <c r="AJ288" i="7" s="1"/>
  <c r="K59" i="13"/>
  <c r="P59" i="13" s="1"/>
  <c r="U53" i="13"/>
  <c r="W53" i="13" s="1"/>
  <c r="Z54" i="7"/>
  <c r="AB54" i="7" s="1"/>
  <c r="U207" i="13"/>
  <c r="W207" i="13" s="1"/>
  <c r="Z208" i="7"/>
  <c r="AB208" i="7" s="1"/>
  <c r="U94" i="13"/>
  <c r="W94" i="13" s="1"/>
  <c r="Z95" i="7"/>
  <c r="AB95" i="7" s="1"/>
  <c r="K50" i="13"/>
  <c r="P50" i="13" s="1"/>
  <c r="U186" i="13"/>
  <c r="W186" i="13" s="1"/>
  <c r="Z187" i="7"/>
  <c r="AB187" i="7" s="1"/>
  <c r="J13" i="13"/>
  <c r="I13" i="13"/>
  <c r="K13" i="13" s="1"/>
  <c r="P13" i="13" s="1"/>
  <c r="R30" i="13"/>
  <c r="R162" i="13"/>
  <c r="K192" i="13"/>
  <c r="P192" i="13" s="1"/>
  <c r="J21" i="13"/>
  <c r="I21" i="13"/>
  <c r="K21" i="13" s="1"/>
  <c r="P21" i="13" s="1"/>
  <c r="C43" i="18"/>
  <c r="AV25" i="16"/>
  <c r="AC53" i="19"/>
  <c r="AV51" i="16"/>
  <c r="C69" i="18" s="1"/>
  <c r="G9" i="22"/>
  <c r="H9" i="22" s="1"/>
  <c r="AR9" i="16"/>
  <c r="AC9" i="19" s="1"/>
  <c r="BF48" i="8"/>
  <c r="BP48" i="8" s="1"/>
  <c r="AJ28" i="9"/>
  <c r="AL28" i="9" s="1"/>
  <c r="T9" i="9" s="1"/>
  <c r="E104" i="19" s="1"/>
  <c r="S18" i="8"/>
  <c r="U18" i="8" s="1"/>
  <c r="G37" i="19" s="1"/>
  <c r="X57" i="8"/>
  <c r="AC150" i="13"/>
  <c r="AE150" i="13" s="1"/>
  <c r="AH151" i="7"/>
  <c r="AJ151" i="7" s="1"/>
  <c r="U217" i="13"/>
  <c r="W217" i="13" s="1"/>
  <c r="Z218" i="7"/>
  <c r="AB218" i="7" s="1"/>
  <c r="X172" i="13"/>
  <c r="Q172" i="13"/>
  <c r="S172" i="13" s="1"/>
  <c r="Q260" i="13"/>
  <c r="Z191" i="13"/>
  <c r="J124" i="13"/>
  <c r="I124" i="13"/>
  <c r="K124" i="13" s="1"/>
  <c r="P124" i="13" s="1"/>
  <c r="G48" i="22"/>
  <c r="H48" i="22" s="1"/>
  <c r="AR48" i="16"/>
  <c r="U132" i="13"/>
  <c r="W132" i="13" s="1"/>
  <c r="Z133" i="7"/>
  <c r="AB133" i="7" s="1"/>
  <c r="L32" i="9"/>
  <c r="O32" i="9" s="1"/>
  <c r="N32" i="9"/>
  <c r="H13" i="9" s="1"/>
  <c r="E32" i="19" s="1"/>
  <c r="Q275" i="13"/>
  <c r="E41" i="9"/>
  <c r="F24" i="9"/>
  <c r="Z286" i="13"/>
  <c r="Q264" i="13"/>
  <c r="R229" i="13"/>
  <c r="Q211" i="13"/>
  <c r="J120" i="13"/>
  <c r="I120" i="13"/>
  <c r="K120" i="13" s="1"/>
  <c r="F80" i="13"/>
  <c r="G63" i="13"/>
  <c r="J16" i="13"/>
  <c r="I16" i="13"/>
  <c r="K16" i="13" s="1"/>
  <c r="P16" i="13" s="1"/>
  <c r="Q45" i="13"/>
  <c r="U159" i="13"/>
  <c r="W159" i="13" s="1"/>
  <c r="Z160" i="7"/>
  <c r="AB160" i="7" s="1"/>
  <c r="F78" i="2"/>
  <c r="D102" i="2"/>
  <c r="D126" i="2" s="1"/>
  <c r="Q261" i="13"/>
  <c r="Q256" i="13"/>
  <c r="R189" i="13"/>
  <c r="Q91" i="13"/>
  <c r="R84" i="13"/>
  <c r="R184" i="13"/>
  <c r="R163" i="13"/>
  <c r="R303" i="7"/>
  <c r="T303" i="7" s="1"/>
  <c r="Z303" i="7" s="1"/>
  <c r="AB303" i="7" s="1"/>
  <c r="AH303" i="7" s="1"/>
  <c r="AJ303" i="7" s="1"/>
  <c r="AP303" i="7" s="1"/>
  <c r="AR303" i="7" s="1"/>
  <c r="AX303" i="7" s="1"/>
  <c r="R40" i="13"/>
  <c r="D95" i="18"/>
  <c r="AU90" i="16"/>
  <c r="Q259" i="13"/>
  <c r="S259" i="13" s="1"/>
  <c r="X259" i="13" s="1"/>
  <c r="X52" i="9"/>
  <c r="AA52" i="9" s="1"/>
  <c r="Z288" i="13"/>
  <c r="M129" i="13"/>
  <c r="O129" i="13" s="1"/>
  <c r="R130" i="7"/>
  <c r="T130" i="7" s="1"/>
  <c r="M64" i="13"/>
  <c r="O64" i="13" s="1"/>
  <c r="R64" i="13" s="1"/>
  <c r="R65" i="7"/>
  <c r="T65" i="7" s="1"/>
  <c r="U87" i="13"/>
  <c r="W87" i="13" s="1"/>
  <c r="Z88" i="7"/>
  <c r="AB88" i="7" s="1"/>
  <c r="U57" i="13"/>
  <c r="W57" i="13" s="1"/>
  <c r="Z58" i="7"/>
  <c r="AB58" i="7" s="1"/>
  <c r="U145" i="13"/>
  <c r="W145" i="13" s="1"/>
  <c r="Z146" i="7"/>
  <c r="AB146" i="7" s="1"/>
  <c r="Q90" i="13"/>
  <c r="U47" i="13"/>
  <c r="W47" i="13" s="1"/>
  <c r="Z48" i="7"/>
  <c r="AB48" i="7" s="1"/>
  <c r="J215" i="13"/>
  <c r="J232" i="13" s="1"/>
  <c r="G232" i="13"/>
  <c r="I215" i="13"/>
  <c r="U167" i="13"/>
  <c r="W167" i="13" s="1"/>
  <c r="Z168" i="7"/>
  <c r="AB168" i="7" s="1"/>
  <c r="C29" i="18"/>
  <c r="I29" i="18" s="1"/>
  <c r="K29" i="18" s="1"/>
  <c r="E11" i="18" s="1"/>
  <c r="Q11" i="19" s="1"/>
  <c r="AV11" i="16"/>
  <c r="D9" i="15"/>
  <c r="E8" i="15"/>
  <c r="Q154" i="13"/>
  <c r="S154" i="13" s="1"/>
  <c r="X154" i="13"/>
  <c r="AC283" i="13"/>
  <c r="AE283" i="13" s="1"/>
  <c r="AH284" i="7"/>
  <c r="AJ284" i="7" s="1"/>
  <c r="AI59" i="8"/>
  <c r="AK59" i="8" s="1"/>
  <c r="R260" i="13"/>
  <c r="E15" i="25"/>
  <c r="AE90" i="19"/>
  <c r="M246" i="13"/>
  <c r="O246" i="13" s="1"/>
  <c r="R247" i="7"/>
  <c r="T247" i="7" s="1"/>
  <c r="R83" i="13"/>
  <c r="U151" i="13"/>
  <c r="W151" i="13" s="1"/>
  <c r="Z152" i="7"/>
  <c r="AB152" i="7" s="1"/>
  <c r="Q56" i="13"/>
  <c r="R192" i="13"/>
  <c r="N7" i="19"/>
  <c r="E25" i="18"/>
  <c r="Y284" i="13"/>
  <c r="R180" i="13"/>
  <c r="Z183" i="13"/>
  <c r="C45" i="18"/>
  <c r="AV27" i="16"/>
  <c r="R29" i="9"/>
  <c r="U29" i="9" s="1"/>
  <c r="G41" i="22"/>
  <c r="H41" i="22" s="1"/>
  <c r="AR41" i="16"/>
  <c r="AS55" i="8"/>
  <c r="BC55" i="8" s="1"/>
  <c r="AU55" i="8"/>
  <c r="R264" i="13"/>
  <c r="U193" i="13"/>
  <c r="W193" i="13" s="1"/>
  <c r="Z194" i="7"/>
  <c r="AB194" i="7" s="1"/>
  <c r="S83" i="7"/>
  <c r="Q100" i="7"/>
  <c r="U211" i="13"/>
  <c r="W211" i="13" s="1"/>
  <c r="Z212" i="7"/>
  <c r="AB212" i="7" s="1"/>
  <c r="Q96" i="13"/>
  <c r="S96" i="13" s="1"/>
  <c r="X96" i="13"/>
  <c r="F309" i="7"/>
  <c r="J8" i="13"/>
  <c r="I8" i="13"/>
  <c r="K8" i="13" s="1"/>
  <c r="P8" i="13" s="1"/>
  <c r="F251" i="13"/>
  <c r="G234" i="13"/>
  <c r="AC89" i="13"/>
  <c r="AE89" i="13" s="1"/>
  <c r="AH90" i="7"/>
  <c r="AJ90" i="7" s="1"/>
  <c r="U60" i="13"/>
  <c r="W60" i="13" s="1"/>
  <c r="Z61" i="7"/>
  <c r="AB61" i="7" s="1"/>
  <c r="Q190" i="13"/>
  <c r="F77" i="2"/>
  <c r="D101" i="2"/>
  <c r="D125" i="2" s="1"/>
  <c r="R34" i="13"/>
  <c r="C99" i="18"/>
  <c r="AV81" i="16"/>
  <c r="F36" i="22"/>
  <c r="Y225" i="13"/>
  <c r="AA225" i="13" s="1"/>
  <c r="AF225" i="13"/>
  <c r="S286" i="13"/>
  <c r="X286" i="13" s="1"/>
  <c r="R274" i="13"/>
  <c r="U261" i="13"/>
  <c r="W261" i="13" s="1"/>
  <c r="Z262" i="7"/>
  <c r="AB262" i="7" s="1"/>
  <c r="U256" i="13"/>
  <c r="W256" i="13" s="1"/>
  <c r="Z257" i="7"/>
  <c r="AB257" i="7" s="1"/>
  <c r="M236" i="13"/>
  <c r="O236" i="13" s="1"/>
  <c r="R237" i="7"/>
  <c r="T237" i="7" s="1"/>
  <c r="Q170" i="13"/>
  <c r="R91" i="13"/>
  <c r="Z187" i="13"/>
  <c r="R209" i="13"/>
  <c r="R58" i="13"/>
  <c r="R27" i="13"/>
  <c r="C96" i="18"/>
  <c r="AV78" i="16"/>
  <c r="R262" i="13"/>
  <c r="M125" i="13"/>
  <c r="O125" i="13" s="1"/>
  <c r="R126" i="7"/>
  <c r="T126" i="7" s="1"/>
  <c r="M76" i="13"/>
  <c r="O76" i="13" s="1"/>
  <c r="R77" i="7"/>
  <c r="T77" i="7" s="1"/>
  <c r="U204" i="13"/>
  <c r="W204" i="13" s="1"/>
  <c r="Z205" i="7"/>
  <c r="AB205" i="7" s="1"/>
  <c r="M73" i="13"/>
  <c r="O73" i="13" s="1"/>
  <c r="R74" i="7"/>
  <c r="T74" i="7" s="1"/>
  <c r="U203" i="13"/>
  <c r="W203" i="13" s="1"/>
  <c r="Z204" i="7"/>
  <c r="AB204" i="7" s="1"/>
  <c r="U90" i="13"/>
  <c r="W90" i="13" s="1"/>
  <c r="Z91" i="7"/>
  <c r="AB91" i="7" s="1"/>
  <c r="AC142" i="13"/>
  <c r="AE142" i="13" s="1"/>
  <c r="AH143" i="7"/>
  <c r="AJ143" i="7" s="1"/>
  <c r="Q52" i="13"/>
  <c r="Q188" i="13"/>
  <c r="S188" i="13" s="1"/>
  <c r="X188" i="13" s="1"/>
  <c r="C83" i="18"/>
  <c r="AV65" i="16"/>
  <c r="U280" i="13"/>
  <c r="W280" i="13" s="1"/>
  <c r="Z281" i="7"/>
  <c r="AB281" i="7" s="1"/>
  <c r="Q269" i="13"/>
  <c r="BF58" i="8"/>
  <c r="BP58" i="8" s="1"/>
  <c r="BH58" i="8"/>
  <c r="BJ58" i="8" s="1"/>
  <c r="M67" i="13"/>
  <c r="O67" i="13" s="1"/>
  <c r="R68" i="7"/>
  <c r="T68" i="7" s="1"/>
  <c r="AT309" i="7"/>
  <c r="U56" i="13"/>
  <c r="W56" i="13" s="1"/>
  <c r="Z57" i="7"/>
  <c r="AB57" i="7" s="1"/>
  <c r="U35" i="13"/>
  <c r="W35" i="13" s="1"/>
  <c r="Z36" i="7"/>
  <c r="AB36" i="7" s="1"/>
  <c r="U33" i="13"/>
  <c r="W33" i="13" s="1"/>
  <c r="Z34" i="7"/>
  <c r="AB34" i="7" s="1"/>
  <c r="R75" i="13"/>
  <c r="R275" i="13"/>
  <c r="AC282" i="13"/>
  <c r="AE282" i="13" s="1"/>
  <c r="AH283" i="7"/>
  <c r="AJ283" i="7" s="1"/>
  <c r="M238" i="13"/>
  <c r="O238" i="13" s="1"/>
  <c r="R239" i="7"/>
  <c r="T239" i="7" s="1"/>
  <c r="M22" i="13"/>
  <c r="O22" i="13" s="1"/>
  <c r="R23" i="7"/>
  <c r="T23" i="7" s="1"/>
  <c r="I14" i="13"/>
  <c r="J14" i="13"/>
  <c r="AC154" i="13"/>
  <c r="AE154" i="13" s="1"/>
  <c r="AH155" i="7"/>
  <c r="AJ155" i="7" s="1"/>
  <c r="R190" i="13"/>
  <c r="D100" i="2"/>
  <c r="D124" i="2" s="1"/>
  <c r="F76" i="2"/>
  <c r="F19" i="8"/>
  <c r="Y273" i="7"/>
  <c r="S290" i="7"/>
  <c r="M247" i="13"/>
  <c r="O247" i="13" s="1"/>
  <c r="R248" i="7"/>
  <c r="T248" i="7" s="1"/>
  <c r="R86" i="13"/>
  <c r="Q292" i="7"/>
  <c r="K309" i="7"/>
  <c r="R224" i="13"/>
  <c r="M9" i="13"/>
  <c r="O9" i="13" s="1"/>
  <c r="R10" i="7"/>
  <c r="T10" i="7" s="1"/>
  <c r="X62" i="9"/>
  <c r="AA62" i="9" s="1"/>
  <c r="Z284" i="13"/>
  <c r="M121" i="13"/>
  <c r="O121" i="13" s="1"/>
  <c r="R122" i="7"/>
  <c r="T122" i="7" s="1"/>
  <c r="M72" i="13"/>
  <c r="O72" i="13" s="1"/>
  <c r="R73" i="7"/>
  <c r="T73" i="7" s="1"/>
  <c r="K223" i="13"/>
  <c r="P223" i="13" s="1"/>
  <c r="K152" i="13"/>
  <c r="P152" i="13" s="1"/>
  <c r="R257" i="13"/>
  <c r="J15" i="13"/>
  <c r="I15" i="13"/>
  <c r="R188" i="13"/>
  <c r="U26" i="13"/>
  <c r="W26" i="13" s="1"/>
  <c r="Z27" i="7"/>
  <c r="AB27" i="7" s="1"/>
  <c r="C106" i="18"/>
  <c r="AV88" i="16"/>
  <c r="Q206" i="13"/>
  <c r="S206" i="13" s="1"/>
  <c r="X206" i="13" s="1"/>
  <c r="N30" i="9"/>
  <c r="H11" i="9" s="1"/>
  <c r="E30" i="19" s="1"/>
  <c r="Z58" i="9"/>
  <c r="M17" i="9" s="1"/>
  <c r="D74" i="19" s="1"/>
  <c r="X58" i="9"/>
  <c r="AA58" i="9" s="1"/>
  <c r="U254" i="13"/>
  <c r="W254" i="13" s="1"/>
  <c r="Z255" i="7"/>
  <c r="AB255" i="7" s="1"/>
  <c r="S121" i="7"/>
  <c r="Q138" i="7"/>
  <c r="Q162" i="13"/>
  <c r="S162" i="13" s="1"/>
  <c r="X162" i="13" s="1"/>
  <c r="R53" i="13"/>
  <c r="R207" i="13"/>
  <c r="R94" i="13"/>
  <c r="E22" i="5"/>
  <c r="E42" i="5" s="1"/>
  <c r="E44" i="5" s="1"/>
  <c r="E28" i="5" s="1"/>
  <c r="E29" i="5" s="1"/>
  <c r="D42" i="4"/>
  <c r="D44" i="4" s="1"/>
  <c r="D28" i="4" s="1"/>
  <c r="Q280" i="13"/>
  <c r="S280" i="13" s="1"/>
  <c r="X280" i="13" s="1"/>
  <c r="M250" i="13"/>
  <c r="O250" i="13" s="1"/>
  <c r="R251" i="7"/>
  <c r="T251" i="7" s="1"/>
  <c r="U59" i="13"/>
  <c r="W59" i="13" s="1"/>
  <c r="Z60" i="7"/>
  <c r="AB60" i="7" s="1"/>
  <c r="Q48" i="13"/>
  <c r="S48" i="13" s="1"/>
  <c r="X48" i="13"/>
  <c r="Q62" i="7"/>
  <c r="S45" i="7"/>
  <c r="C27" i="18"/>
  <c r="AV9" i="16"/>
  <c r="G7" i="22"/>
  <c r="H7" i="22" s="1"/>
  <c r="AR7" i="16"/>
  <c r="AC7" i="19" s="1"/>
  <c r="D29" i="4"/>
  <c r="C50" i="18"/>
  <c r="AV32" i="16"/>
  <c r="C48" i="18"/>
  <c r="AV30" i="16"/>
  <c r="AG57" i="8"/>
  <c r="AI57" i="8" s="1"/>
  <c r="AF61" i="8"/>
  <c r="Z182" i="13"/>
  <c r="Q229" i="13"/>
  <c r="F81" i="2"/>
  <c r="D105" i="2"/>
  <c r="D129" i="2" s="1"/>
  <c r="I134" i="13"/>
  <c r="K134" i="13" s="1"/>
  <c r="P134" i="13" s="1"/>
  <c r="J134" i="13"/>
  <c r="Q84" i="13"/>
  <c r="Q160" i="13"/>
  <c r="Q98" i="16"/>
  <c r="AR98" i="16" s="1"/>
  <c r="AC103" i="19" s="1"/>
  <c r="AU98" i="16"/>
  <c r="D116" i="18" s="1"/>
  <c r="H116" i="18" s="1"/>
  <c r="AT98" i="16"/>
  <c r="M135" i="13"/>
  <c r="O135" i="13" s="1"/>
  <c r="R136" i="7"/>
  <c r="T136" i="7" s="1"/>
  <c r="M70" i="13"/>
  <c r="O70" i="13" s="1"/>
  <c r="R71" i="7"/>
  <c r="T71" i="7" s="1"/>
  <c r="U185" i="13"/>
  <c r="W185" i="13" s="1"/>
  <c r="Z186" i="7"/>
  <c r="AB186" i="7" s="1"/>
  <c r="Q57" i="13"/>
  <c r="U200" i="13"/>
  <c r="W200" i="13" s="1"/>
  <c r="Z201" i="7"/>
  <c r="AB201" i="7" s="1"/>
  <c r="U88" i="13"/>
  <c r="W88" i="13" s="1"/>
  <c r="Z89" i="7"/>
  <c r="AB89" i="7" s="1"/>
  <c r="U46" i="13"/>
  <c r="W46" i="13" s="1"/>
  <c r="Z47" i="7"/>
  <c r="AB47" i="7" s="1"/>
  <c r="R31" i="9"/>
  <c r="U31" i="9" s="1"/>
  <c r="T31" i="9"/>
  <c r="K12" i="9" s="1"/>
  <c r="E50" i="19" s="1"/>
  <c r="AS60" i="8"/>
  <c r="BC60" i="8" s="1"/>
  <c r="AL5" i="16"/>
  <c r="K95" i="13"/>
  <c r="P95" i="13" s="1"/>
  <c r="R95" i="13" s="1"/>
  <c r="M18" i="13"/>
  <c r="O18" i="13" s="1"/>
  <c r="R18" i="13" s="1"/>
  <c r="R19" i="7"/>
  <c r="T19" i="7" s="1"/>
  <c r="M11" i="13"/>
  <c r="O11" i="13" s="1"/>
  <c r="R11" i="13" s="1"/>
  <c r="R12" i="7"/>
  <c r="T12" i="7" s="1"/>
  <c r="Q24" i="7"/>
  <c r="S7" i="7"/>
  <c r="U49" i="13"/>
  <c r="W49" i="13" s="1"/>
  <c r="Z50" i="7"/>
  <c r="AB50" i="7" s="1"/>
  <c r="U226" i="13"/>
  <c r="W226" i="13" s="1"/>
  <c r="Z227" i="7"/>
  <c r="AB227" i="7" s="1"/>
  <c r="K164" i="13"/>
  <c r="P164" i="13" s="1"/>
  <c r="R164" i="13" s="1"/>
  <c r="C88" i="18"/>
  <c r="AV70" i="16"/>
  <c r="C104" i="18"/>
  <c r="AV86" i="16"/>
  <c r="T56" i="9"/>
  <c r="J15" i="9" s="1"/>
  <c r="D53" i="19" s="1"/>
  <c r="V53" i="19" s="1"/>
  <c r="AE53" i="19" s="1"/>
  <c r="M245" i="13"/>
  <c r="O245" i="13" s="1"/>
  <c r="R246" i="7"/>
  <c r="T246" i="7" s="1"/>
  <c r="K227" i="13"/>
  <c r="P227" i="13" s="1"/>
  <c r="G175" i="13"/>
  <c r="I158" i="13"/>
  <c r="J158" i="13"/>
  <c r="J175" i="13" s="1"/>
  <c r="K51" i="13"/>
  <c r="P51" i="13" s="1"/>
  <c r="AC178" i="13"/>
  <c r="AE178" i="13" s="1"/>
  <c r="AH179" i="7"/>
  <c r="AJ179" i="7" s="1"/>
  <c r="M196" i="13"/>
  <c r="R197" i="7"/>
  <c r="L214" i="7"/>
  <c r="A50" i="18" s="1"/>
  <c r="F50" i="18" s="1"/>
  <c r="K40" i="13"/>
  <c r="P40" i="13" s="1"/>
  <c r="K281" i="13"/>
  <c r="P281" i="13" s="1"/>
  <c r="AC220" i="13"/>
  <c r="AE220" i="13" s="1"/>
  <c r="AH221" i="7"/>
  <c r="AJ221" i="7" s="1"/>
  <c r="J135" i="13"/>
  <c r="I135" i="13"/>
  <c r="I70" i="13"/>
  <c r="J70" i="13"/>
  <c r="K87" i="13"/>
  <c r="P87" i="13" s="1"/>
  <c r="R46" i="13"/>
  <c r="R217" i="13"/>
  <c r="K37" i="13"/>
  <c r="P37" i="13" s="1"/>
  <c r="S288" i="13"/>
  <c r="X288" i="13" s="1"/>
  <c r="K151" i="13"/>
  <c r="P151" i="13" s="1"/>
  <c r="U41" i="13"/>
  <c r="W41" i="13" s="1"/>
  <c r="Z42" i="7"/>
  <c r="AB42" i="7" s="1"/>
  <c r="K168" i="13"/>
  <c r="P168" i="13" s="1"/>
  <c r="K32" i="13"/>
  <c r="P32" i="13" s="1"/>
  <c r="G52" i="22"/>
  <c r="H52" i="22" s="1"/>
  <c r="AR52" i="16"/>
  <c r="R132" i="13"/>
  <c r="Q107" i="16"/>
  <c r="AR107" i="16" s="1"/>
  <c r="AC112" i="19" s="1"/>
  <c r="AU107" i="16"/>
  <c r="D125" i="18" s="1"/>
  <c r="H125" i="18" s="1"/>
  <c r="AT107" i="16"/>
  <c r="Q202" i="13"/>
  <c r="S202" i="13" s="1"/>
  <c r="X202" i="13" s="1"/>
  <c r="V37" i="19"/>
  <c r="AE37" i="19" s="1"/>
  <c r="U265" i="13"/>
  <c r="W265" i="13" s="1"/>
  <c r="Z266" i="7"/>
  <c r="AB266" i="7" s="1"/>
  <c r="AU54" i="8"/>
  <c r="U263" i="13"/>
  <c r="W263" i="13" s="1"/>
  <c r="Z264" i="7"/>
  <c r="AB264" i="7" s="1"/>
  <c r="G270" i="13"/>
  <c r="J253" i="13"/>
  <c r="J270" i="13" s="1"/>
  <c r="I253" i="13"/>
  <c r="K253" i="13" s="1"/>
  <c r="K144" i="13"/>
  <c r="P144" i="13" s="1"/>
  <c r="R144" i="13" s="1"/>
  <c r="K55" i="13"/>
  <c r="P55" i="13" s="1"/>
  <c r="R55" i="13" s="1"/>
  <c r="M240" i="13"/>
  <c r="O240" i="13" s="1"/>
  <c r="R241" i="7"/>
  <c r="T241" i="7" s="1"/>
  <c r="U155" i="13"/>
  <c r="W155" i="13" s="1"/>
  <c r="Z156" i="7"/>
  <c r="AB156" i="7" s="1"/>
  <c r="U98" i="13"/>
  <c r="W98" i="13" s="1"/>
  <c r="Z99" i="7"/>
  <c r="AB99" i="7" s="1"/>
  <c r="AL309" i="7"/>
  <c r="I10" i="13"/>
  <c r="J10" i="13"/>
  <c r="M19" i="13"/>
  <c r="O19" i="13" s="1"/>
  <c r="R19" i="13" s="1"/>
  <c r="R20" i="7"/>
  <c r="T20" i="7" s="1"/>
  <c r="AC146" i="13"/>
  <c r="AE146" i="13" s="1"/>
  <c r="AH147" i="7"/>
  <c r="AJ147" i="7" s="1"/>
  <c r="M177" i="13"/>
  <c r="R178" i="7"/>
  <c r="L195" i="7"/>
  <c r="A49" i="18" s="1"/>
  <c r="F49" i="18" s="1"/>
  <c r="R159" i="13"/>
  <c r="E102" i="2"/>
  <c r="E126" i="2" s="1"/>
  <c r="G78" i="2"/>
  <c r="AT8" i="16"/>
  <c r="AO8" i="16"/>
  <c r="N92" i="19"/>
  <c r="E106" i="18"/>
  <c r="K278" i="13"/>
  <c r="P278" i="13" s="1"/>
  <c r="R278" i="13" s="1"/>
  <c r="D19" i="19"/>
  <c r="V5" i="19"/>
  <c r="U227" i="13"/>
  <c r="W227" i="13" s="1"/>
  <c r="Z228" i="7"/>
  <c r="AB228" i="7" s="1"/>
  <c r="U51" i="13"/>
  <c r="W51" i="13" s="1"/>
  <c r="Z52" i="7"/>
  <c r="AB52" i="7" s="1"/>
  <c r="G61" i="13"/>
  <c r="I44" i="13"/>
  <c r="J44" i="13"/>
  <c r="J61" i="13" s="1"/>
  <c r="U230" i="13"/>
  <c r="W230" i="13" s="1"/>
  <c r="Z231" i="7"/>
  <c r="AB231" i="7" s="1"/>
  <c r="U160" i="13"/>
  <c r="W160" i="13" s="1"/>
  <c r="Z161" i="7"/>
  <c r="AB161" i="7" s="1"/>
  <c r="J17" i="13"/>
  <c r="I17" i="13"/>
  <c r="AT24" i="16"/>
  <c r="AO24" i="16"/>
  <c r="C77" i="18"/>
  <c r="AV59" i="16"/>
  <c r="C95" i="18"/>
  <c r="AT90" i="16"/>
  <c r="AV77" i="16"/>
  <c r="Q96" i="16"/>
  <c r="AR96" i="16" s="1"/>
  <c r="AC101" i="19" s="1"/>
  <c r="AU96" i="16"/>
  <c r="D114" i="18" s="1"/>
  <c r="H114" i="18" s="1"/>
  <c r="AT96" i="16"/>
  <c r="Q142" i="13"/>
  <c r="T52" i="9"/>
  <c r="J11" i="9" s="1"/>
  <c r="D49" i="19" s="1"/>
  <c r="V49" i="19" s="1"/>
  <c r="AE49" i="19" s="1"/>
  <c r="K273" i="13"/>
  <c r="P273" i="13" s="1"/>
  <c r="Q201" i="13"/>
  <c r="S201" i="13" s="1"/>
  <c r="X201" i="13" s="1"/>
  <c r="J129" i="13"/>
  <c r="I129" i="13"/>
  <c r="J64" i="13"/>
  <c r="I64" i="13"/>
  <c r="K64" i="13" s="1"/>
  <c r="P64" i="13" s="1"/>
  <c r="K166" i="13"/>
  <c r="P166" i="13" s="1"/>
  <c r="R57" i="13"/>
  <c r="R145" i="13"/>
  <c r="R142" i="13"/>
  <c r="R47" i="13"/>
  <c r="R167" i="13"/>
  <c r="U28" i="13"/>
  <c r="W28" i="13" s="1"/>
  <c r="Z29" i="7"/>
  <c r="AB29" i="7" s="1"/>
  <c r="F27" i="3"/>
  <c r="E29" i="3"/>
  <c r="C28" i="15"/>
  <c r="E28" i="15" s="1"/>
  <c r="F28" i="15" s="1"/>
  <c r="G28" i="15" s="1"/>
  <c r="H28" i="15" s="1"/>
  <c r="N28" i="15" s="1"/>
  <c r="T8" i="14"/>
  <c r="Y8" i="14" s="1"/>
  <c r="BH22" i="10"/>
  <c r="AP300" i="7"/>
  <c r="AR300" i="7" s="1"/>
  <c r="AX300" i="7" s="1"/>
  <c r="M272" i="13"/>
  <c r="L290" i="7"/>
  <c r="A54" i="18" s="1"/>
  <c r="F54" i="18" s="1"/>
  <c r="R273" i="7"/>
  <c r="AC201" i="13"/>
  <c r="AE201" i="13" s="1"/>
  <c r="AH202" i="7"/>
  <c r="AJ202" i="7" s="1"/>
  <c r="J246" i="13"/>
  <c r="I246" i="13"/>
  <c r="K218" i="13"/>
  <c r="P218" i="13" s="1"/>
  <c r="K148" i="13"/>
  <c r="P148" i="13" s="1"/>
  <c r="R148" i="13" s="1"/>
  <c r="Y216" i="7"/>
  <c r="S233" i="7"/>
  <c r="R151" i="13"/>
  <c r="U48" i="13"/>
  <c r="W48" i="13" s="1"/>
  <c r="Z48" i="13" s="1"/>
  <c r="Z49" i="7"/>
  <c r="AB49" i="7" s="1"/>
  <c r="U222" i="13"/>
  <c r="W222" i="13" s="1"/>
  <c r="Z223" i="7"/>
  <c r="AB223" i="7" s="1"/>
  <c r="U168" i="13"/>
  <c r="W168" i="13" s="1"/>
  <c r="Z169" i="7"/>
  <c r="AB169" i="7" s="1"/>
  <c r="K33" i="13"/>
  <c r="P33" i="13" s="1"/>
  <c r="T26" i="14"/>
  <c r="Y26" i="14" s="1"/>
  <c r="O27" i="15"/>
  <c r="K254" i="13"/>
  <c r="P254" i="13" s="1"/>
  <c r="R254" i="13" s="1"/>
  <c r="K267" i="13"/>
  <c r="P267" i="13" s="1"/>
  <c r="R267" i="13" s="1"/>
  <c r="M69" i="13"/>
  <c r="O69" i="13" s="1"/>
  <c r="R70" i="7"/>
  <c r="T70" i="7" s="1"/>
  <c r="K186" i="13"/>
  <c r="P186" i="13" s="1"/>
  <c r="N37" i="9"/>
  <c r="K235" i="13"/>
  <c r="P235" i="13" s="1"/>
  <c r="AT14" i="16"/>
  <c r="AO14" i="16"/>
  <c r="Z295" i="7"/>
  <c r="AB295" i="7" s="1"/>
  <c r="AH295" i="7" s="1"/>
  <c r="AJ295" i="7" s="1"/>
  <c r="AP295" i="7" s="1"/>
  <c r="AR295" i="7" s="1"/>
  <c r="AX295" i="7" s="1"/>
  <c r="AI55" i="8"/>
  <c r="R193" i="13"/>
  <c r="R211" i="13"/>
  <c r="K153" i="13"/>
  <c r="P153" i="13" s="1"/>
  <c r="F23" i="13"/>
  <c r="K6" i="13"/>
  <c r="AC202" i="13"/>
  <c r="AE202" i="13" s="1"/>
  <c r="AH203" i="7"/>
  <c r="AJ203" i="7" s="1"/>
  <c r="R60" i="13"/>
  <c r="U31" i="13"/>
  <c r="W31" i="13" s="1"/>
  <c r="Z32" i="7"/>
  <c r="AB32" i="7" s="1"/>
  <c r="G80" i="2"/>
  <c r="E104" i="2"/>
  <c r="E128" i="2" s="1"/>
  <c r="AX22" i="10"/>
  <c r="R261" i="13"/>
  <c r="R256" i="13"/>
  <c r="J236" i="13"/>
  <c r="I236" i="13"/>
  <c r="K208" i="13"/>
  <c r="P208" i="13" s="1"/>
  <c r="K140" i="13"/>
  <c r="P140" i="13" s="1"/>
  <c r="AC216" i="13"/>
  <c r="AE216" i="13" s="1"/>
  <c r="AH217" i="7"/>
  <c r="AJ217" i="7" s="1"/>
  <c r="U198" i="13"/>
  <c r="W198" i="13" s="1"/>
  <c r="Z199" i="7"/>
  <c r="AB199" i="7" s="1"/>
  <c r="U141" i="13"/>
  <c r="W141" i="13" s="1"/>
  <c r="Z142" i="7"/>
  <c r="AB142" i="7" s="1"/>
  <c r="M44" i="13"/>
  <c r="L62" i="7"/>
  <c r="A43" i="18" s="1"/>
  <c r="F43" i="18" s="1"/>
  <c r="R45" i="7"/>
  <c r="K165" i="13"/>
  <c r="P165" i="13" s="1"/>
  <c r="R165" i="13" s="1"/>
  <c r="U281" i="13"/>
  <c r="W281" i="13" s="1"/>
  <c r="Z282" i="7"/>
  <c r="AB282" i="7" s="1"/>
  <c r="BU11" i="8"/>
  <c r="G106" i="19" s="1"/>
  <c r="I125" i="13"/>
  <c r="J125" i="13"/>
  <c r="J76" i="13"/>
  <c r="I76" i="13"/>
  <c r="R204" i="13"/>
  <c r="J73" i="13"/>
  <c r="I73" i="13"/>
  <c r="R203" i="13"/>
  <c r="R90" i="13"/>
  <c r="G23" i="13"/>
  <c r="J7" i="13"/>
  <c r="I7" i="13"/>
  <c r="K39" i="13"/>
  <c r="P39" i="13" s="1"/>
  <c r="R39" i="13" s="1"/>
  <c r="R34" i="9"/>
  <c r="U34" i="9" s="1"/>
  <c r="H55" i="18"/>
  <c r="C102" i="18"/>
  <c r="AV84" i="16"/>
  <c r="U218" i="13"/>
  <c r="W218" i="13" s="1"/>
  <c r="Z219" i="7"/>
  <c r="AB219" i="7" s="1"/>
  <c r="K149" i="13"/>
  <c r="P149" i="13" s="1"/>
  <c r="J67" i="13"/>
  <c r="I67" i="13"/>
  <c r="AT23" i="13"/>
  <c r="R56" i="13"/>
  <c r="R35" i="13"/>
  <c r="R33" i="13"/>
  <c r="U235" i="13"/>
  <c r="W235" i="13" s="1"/>
  <c r="Z236" i="7"/>
  <c r="AB236" i="7" s="1"/>
  <c r="Q97" i="16"/>
  <c r="AR97" i="16" s="1"/>
  <c r="AC102" i="19" s="1"/>
  <c r="AT97" i="16"/>
  <c r="AU97" i="16"/>
  <c r="D115" i="18" s="1"/>
  <c r="H115" i="18" s="1"/>
  <c r="X287" i="13"/>
  <c r="Z287" i="13" s="1"/>
  <c r="Q287" i="13"/>
  <c r="S287" i="13" s="1"/>
  <c r="Z282" i="13"/>
  <c r="V84" i="19"/>
  <c r="K174" i="13"/>
  <c r="P174" i="13" s="1"/>
  <c r="J238" i="13"/>
  <c r="I238" i="13"/>
  <c r="M139" i="13"/>
  <c r="L157" i="7"/>
  <c r="A47" i="18" s="1"/>
  <c r="F47" i="18" s="1"/>
  <c r="R140" i="7"/>
  <c r="M82" i="13"/>
  <c r="L100" i="7"/>
  <c r="A45" i="18" s="1"/>
  <c r="F45" i="18" s="1"/>
  <c r="R83" i="7"/>
  <c r="R308" i="7"/>
  <c r="T308" i="7" s="1"/>
  <c r="Z308" i="7" s="1"/>
  <c r="AB308" i="7" s="1"/>
  <c r="AH308" i="7" s="1"/>
  <c r="AJ308" i="7" s="1"/>
  <c r="AP308" i="7" s="1"/>
  <c r="AR308" i="7" s="1"/>
  <c r="AX308" i="7" s="1"/>
  <c r="J12" i="13"/>
  <c r="I12" i="13"/>
  <c r="K12" i="13" s="1"/>
  <c r="P12" i="13" s="1"/>
  <c r="Z154" i="13"/>
  <c r="K54" i="13"/>
  <c r="P54" i="13" s="1"/>
  <c r="U179" i="13"/>
  <c r="W179" i="13" s="1"/>
  <c r="Z180" i="7"/>
  <c r="AB180" i="7" s="1"/>
  <c r="U161" i="13"/>
  <c r="W161" i="13" s="1"/>
  <c r="Z162" i="7"/>
  <c r="AB162" i="7" s="1"/>
  <c r="K36" i="13"/>
  <c r="P36" i="13" s="1"/>
  <c r="C101" i="18"/>
  <c r="AV83" i="16"/>
  <c r="J247" i="13"/>
  <c r="I247" i="13"/>
  <c r="K255" i="13"/>
  <c r="P255" i="13" s="1"/>
  <c r="U170" i="13"/>
  <c r="W170" i="13" s="1"/>
  <c r="Z171" i="7"/>
  <c r="AB171" i="7" s="1"/>
  <c r="M77" i="13"/>
  <c r="O77" i="13" s="1"/>
  <c r="R78" i="7"/>
  <c r="T78" i="7" s="1"/>
  <c r="K143" i="13"/>
  <c r="P143" i="13" s="1"/>
  <c r="R143" i="13" s="1"/>
  <c r="U181" i="13"/>
  <c r="W181" i="13" s="1"/>
  <c r="Z182" i="7"/>
  <c r="AB182" i="7" s="1"/>
  <c r="C100" i="18"/>
  <c r="AV82" i="16"/>
  <c r="E24" i="18"/>
  <c r="N6" i="19"/>
  <c r="U273" i="13"/>
  <c r="W273" i="13" s="1"/>
  <c r="Z274" i="7"/>
  <c r="AB274" i="7" s="1"/>
  <c r="BW45" i="8"/>
  <c r="BS6" i="8"/>
  <c r="BU6" i="8" s="1"/>
  <c r="G101" i="19" s="1"/>
  <c r="V101" i="19" s="1"/>
  <c r="BJ19" i="8"/>
  <c r="I121" i="13"/>
  <c r="J121" i="13"/>
  <c r="J72" i="13"/>
  <c r="I72" i="13"/>
  <c r="Q200" i="13"/>
  <c r="S200" i="13" s="1"/>
  <c r="X200" i="13"/>
  <c r="K88" i="13"/>
  <c r="P88" i="13" s="1"/>
  <c r="R197" i="13"/>
  <c r="U52" i="13"/>
  <c r="W52" i="13" s="1"/>
  <c r="Z53" i="7"/>
  <c r="AB53" i="7" s="1"/>
  <c r="U169" i="13"/>
  <c r="W169" i="13" s="1"/>
  <c r="Z170" i="7"/>
  <c r="AB170" i="7" s="1"/>
  <c r="R26" i="13"/>
  <c r="AT6" i="16"/>
  <c r="AO6" i="16"/>
  <c r="R30" i="9"/>
  <c r="U30" i="9" s="1"/>
  <c r="T30" i="9"/>
  <c r="K11" i="9" s="1"/>
  <c r="E49" i="19" s="1"/>
  <c r="Q276" i="13"/>
  <c r="S276" i="13" s="1"/>
  <c r="X276" i="13" s="1"/>
  <c r="BW49" i="8"/>
  <c r="BS10" i="8"/>
  <c r="BU10" i="8" s="1"/>
  <c r="G105" i="19" s="1"/>
  <c r="V105" i="19" s="1"/>
  <c r="U269" i="13"/>
  <c r="W269" i="13" s="1"/>
  <c r="Z270" i="7"/>
  <c r="AB270" i="7" s="1"/>
  <c r="Q199" i="13"/>
  <c r="S199" i="13" s="1"/>
  <c r="X199" i="13" s="1"/>
  <c r="M126" i="13"/>
  <c r="O126" i="13" s="1"/>
  <c r="R127" i="7"/>
  <c r="T127" i="7" s="1"/>
  <c r="AC221" i="13"/>
  <c r="AE221" i="13" s="1"/>
  <c r="AH222" i="7"/>
  <c r="AJ222" i="7" s="1"/>
  <c r="M237" i="13"/>
  <c r="O237" i="13" s="1"/>
  <c r="R238" i="7"/>
  <c r="T238" i="7" s="1"/>
  <c r="U149" i="13"/>
  <c r="W149" i="13" s="1"/>
  <c r="Z150" i="7"/>
  <c r="AB150" i="7" s="1"/>
  <c r="U219" i="13"/>
  <c r="W219" i="13" s="1"/>
  <c r="Z220" i="7"/>
  <c r="AB220" i="7" s="1"/>
  <c r="U173" i="13"/>
  <c r="W173" i="13" s="1"/>
  <c r="Z174" i="7"/>
  <c r="AB174" i="7" s="1"/>
  <c r="M13" i="13"/>
  <c r="O13" i="13" s="1"/>
  <c r="R13" i="13" s="1"/>
  <c r="R14" i="7"/>
  <c r="T14" i="7" s="1"/>
  <c r="E42" i="4"/>
  <c r="E44" i="4" s="1"/>
  <c r="E28" i="4" s="1"/>
  <c r="E22" i="4"/>
  <c r="F20" i="4" s="1"/>
  <c r="F22" i="4" s="1"/>
  <c r="G20" i="4" s="1"/>
  <c r="G22" i="4" s="1"/>
  <c r="H20" i="4" s="1"/>
  <c r="H22" i="4" s="1"/>
  <c r="I20" i="4" s="1"/>
  <c r="I22" i="4" s="1"/>
  <c r="J20" i="4" s="1"/>
  <c r="J22" i="4" s="1"/>
  <c r="S89" i="13"/>
  <c r="X89" i="13" s="1"/>
  <c r="Z89" i="13" s="1"/>
  <c r="J250" i="13"/>
  <c r="I250" i="13"/>
  <c r="K250" i="13" s="1"/>
  <c r="P250" i="13" s="1"/>
  <c r="R59" i="13"/>
  <c r="Q92" i="13"/>
  <c r="S92" i="13" s="1"/>
  <c r="X92" i="13" s="1"/>
  <c r="U50" i="13"/>
  <c r="W50" i="13" s="1"/>
  <c r="Z51" i="7"/>
  <c r="AB51" i="7" s="1"/>
  <c r="Q171" i="13"/>
  <c r="S171" i="13" s="1"/>
  <c r="X171" i="13" s="1"/>
  <c r="M21" i="13"/>
  <c r="O21" i="13" s="1"/>
  <c r="R21" i="13" s="1"/>
  <c r="R22" i="7"/>
  <c r="T22" i="7" s="1"/>
  <c r="G49" i="22"/>
  <c r="H49" i="22" s="1"/>
  <c r="AR49" i="16"/>
  <c r="G13" i="22"/>
  <c r="H13" i="22" s="1"/>
  <c r="AR13" i="16"/>
  <c r="AC13" i="19" s="1"/>
  <c r="G23" i="22"/>
  <c r="H23" i="22" s="1"/>
  <c r="AR23" i="16"/>
  <c r="G53" i="22"/>
  <c r="H53" i="22" s="1"/>
  <c r="AR53" i="16"/>
  <c r="C25" i="18"/>
  <c r="I25" i="18" s="1"/>
  <c r="K25" i="18" s="1"/>
  <c r="E7" i="18" s="1"/>
  <c r="Q7" i="19" s="1"/>
  <c r="AV7" i="16"/>
  <c r="C52" i="18"/>
  <c r="AV34" i="16"/>
  <c r="P25" i="15"/>
  <c r="T43" i="14"/>
  <c r="G44" i="22"/>
  <c r="H44" i="22" s="1"/>
  <c r="AR44" i="16"/>
  <c r="J18" i="9"/>
  <c r="D56" i="19" s="1"/>
  <c r="U212" i="13"/>
  <c r="W212" i="13" s="1"/>
  <c r="Z213" i="7"/>
  <c r="AB213" i="7" s="1"/>
  <c r="X98" i="13"/>
  <c r="Q98" i="13"/>
  <c r="S98" i="13" s="1"/>
  <c r="R36" i="13"/>
  <c r="AF178" i="13"/>
  <c r="Y178" i="13"/>
  <c r="AA178" i="13" s="1"/>
  <c r="R277" i="13"/>
  <c r="J20" i="13"/>
  <c r="I20" i="13"/>
  <c r="R49" i="13"/>
  <c r="U268" i="13"/>
  <c r="W268" i="13" s="1"/>
  <c r="Z269" i="7"/>
  <c r="AB269" i="7" s="1"/>
  <c r="U143" i="13"/>
  <c r="W143" i="13" s="1"/>
  <c r="Z144" i="7"/>
  <c r="AB144" i="7" s="1"/>
  <c r="Q184" i="13"/>
  <c r="S184" i="13" s="1"/>
  <c r="X184" i="13" s="1"/>
  <c r="M133" i="13"/>
  <c r="O133" i="13" s="1"/>
  <c r="R134" i="7"/>
  <c r="T134" i="7" s="1"/>
  <c r="U223" i="13"/>
  <c r="W223" i="13" s="1"/>
  <c r="Z224" i="7"/>
  <c r="AB224" i="7" s="1"/>
  <c r="U231" i="13"/>
  <c r="W231" i="13" s="1"/>
  <c r="Z232" i="7"/>
  <c r="AB232" i="7" s="1"/>
  <c r="X47" i="13"/>
  <c r="Q47" i="13"/>
  <c r="S47" i="13" s="1"/>
  <c r="U228" i="13"/>
  <c r="W228" i="13" s="1"/>
  <c r="Z229" i="7"/>
  <c r="AB229" i="7" s="1"/>
  <c r="Q167" i="13"/>
  <c r="S167" i="13" s="1"/>
  <c r="X167" i="13" s="1"/>
  <c r="AQ37" i="16"/>
  <c r="Q83" i="13"/>
  <c r="S83" i="13" s="1"/>
  <c r="X83" i="13" s="1"/>
  <c r="G47" i="22"/>
  <c r="H47" i="22" s="1"/>
  <c r="AR47" i="16"/>
  <c r="H37" i="18"/>
  <c r="F18" i="22"/>
  <c r="Q150" i="13"/>
  <c r="Q85" i="13"/>
  <c r="R265" i="13"/>
  <c r="BF54" i="8"/>
  <c r="BP54" i="8" s="1"/>
  <c r="R263" i="13"/>
  <c r="J240" i="13"/>
  <c r="I240" i="13"/>
  <c r="R155" i="13"/>
  <c r="R98" i="13"/>
  <c r="AL23" i="13"/>
  <c r="M16" i="13"/>
  <c r="O16" i="13" s="1"/>
  <c r="R16" i="13" s="1"/>
  <c r="R17" i="7"/>
  <c r="T17" i="7" s="1"/>
  <c r="AP305" i="7"/>
  <c r="AR305" i="7" s="1"/>
  <c r="AX305" i="7" s="1"/>
  <c r="M243" i="13"/>
  <c r="O243" i="13" s="1"/>
  <c r="R244" i="7"/>
  <c r="T244" i="7" s="1"/>
  <c r="Z146" i="13"/>
  <c r="U164" i="13"/>
  <c r="W164" i="13" s="1"/>
  <c r="Z165" i="7"/>
  <c r="AB165" i="7" s="1"/>
  <c r="E103" i="2"/>
  <c r="E127" i="2" s="1"/>
  <c r="G79" i="2"/>
  <c r="Q97" i="13"/>
  <c r="M241" i="13"/>
  <c r="O241" i="13" s="1"/>
  <c r="R242" i="7"/>
  <c r="T242" i="7" s="1"/>
  <c r="R227" i="13"/>
  <c r="M158" i="13"/>
  <c r="L176" i="7"/>
  <c r="A48" i="18" s="1"/>
  <c r="F48" i="18" s="1"/>
  <c r="R159" i="7"/>
  <c r="R51" i="13"/>
  <c r="Q198" i="13"/>
  <c r="S198" i="13" s="1"/>
  <c r="X198" i="13" s="1"/>
  <c r="Q141" i="13"/>
  <c r="R230" i="13"/>
  <c r="R160" i="13"/>
  <c r="Q27" i="13"/>
  <c r="S27" i="13" s="1"/>
  <c r="X27" i="13" s="1"/>
  <c r="AT12" i="16"/>
  <c r="AO12" i="16"/>
  <c r="BS12" i="8"/>
  <c r="BU12" i="8" s="1"/>
  <c r="G107" i="19" s="1"/>
  <c r="V107" i="19" s="1"/>
  <c r="BW51" i="8"/>
  <c r="Q262" i="13"/>
  <c r="S262" i="13" s="1"/>
  <c r="X262" i="13" s="1"/>
  <c r="M131" i="13"/>
  <c r="O131" i="13" s="1"/>
  <c r="R132" i="7"/>
  <c r="T132" i="7" s="1"/>
  <c r="M66" i="13"/>
  <c r="O66" i="13" s="1"/>
  <c r="R67" i="7"/>
  <c r="T67" i="7" s="1"/>
  <c r="Q204" i="13"/>
  <c r="S204" i="13" s="1"/>
  <c r="X204" i="13" s="1"/>
  <c r="S140" i="7"/>
  <c r="Q157" i="7"/>
  <c r="M239" i="13"/>
  <c r="O239" i="13" s="1"/>
  <c r="R240" i="7"/>
  <c r="T240" i="7" s="1"/>
  <c r="M128" i="13"/>
  <c r="O128" i="13" s="1"/>
  <c r="R128" i="13" s="1"/>
  <c r="R129" i="7"/>
  <c r="T129" i="7" s="1"/>
  <c r="J25" i="13"/>
  <c r="J42" i="13" s="1"/>
  <c r="G42" i="13"/>
  <c r="I25" i="13"/>
  <c r="AC93" i="13"/>
  <c r="AE93" i="13" s="1"/>
  <c r="AH94" i="7"/>
  <c r="AJ94" i="7" s="1"/>
  <c r="Q43" i="7"/>
  <c r="S26" i="7"/>
  <c r="U172" i="13"/>
  <c r="W172" i="13" s="1"/>
  <c r="Z172" i="13" s="1"/>
  <c r="Z173" i="7"/>
  <c r="AB173" i="7" s="1"/>
  <c r="R28" i="13"/>
  <c r="T22" i="10"/>
  <c r="U276" i="13"/>
  <c r="W276" i="13" s="1"/>
  <c r="Z277" i="7"/>
  <c r="AB277" i="7" s="1"/>
  <c r="AL25" i="9"/>
  <c r="T6" i="9" s="1"/>
  <c r="E101" i="19" s="1"/>
  <c r="AJ25" i="9"/>
  <c r="AS59" i="8"/>
  <c r="R222" i="13"/>
  <c r="R168" i="13"/>
  <c r="Q35" i="13"/>
  <c r="S35" i="13" s="1"/>
  <c r="X35" i="13" s="1"/>
  <c r="F17" i="3"/>
  <c r="F34" i="3" s="1"/>
  <c r="F20" i="3" s="1"/>
  <c r="G15" i="3"/>
  <c r="G16" i="3" s="1"/>
  <c r="S64" i="7"/>
  <c r="Q81" i="7"/>
  <c r="J69" i="13"/>
  <c r="I69" i="13"/>
  <c r="Q207" i="13"/>
  <c r="R37" i="9"/>
  <c r="U37" i="9" s="1"/>
  <c r="M253" i="13"/>
  <c r="L271" i="7"/>
  <c r="A53" i="18" s="1"/>
  <c r="F53" i="18" s="1"/>
  <c r="R254" i="7"/>
  <c r="U144" i="13"/>
  <c r="W144" i="13" s="1"/>
  <c r="Z145" i="7"/>
  <c r="AB145" i="7" s="1"/>
  <c r="U55" i="13"/>
  <c r="W55" i="13" s="1"/>
  <c r="Z56" i="7"/>
  <c r="AB56" i="7" s="1"/>
  <c r="J139" i="13"/>
  <c r="J156" i="13" s="1"/>
  <c r="G156" i="13"/>
  <c r="I139" i="13"/>
  <c r="J82" i="13"/>
  <c r="J99" i="13" s="1"/>
  <c r="G99" i="13"/>
  <c r="I82" i="13"/>
  <c r="M8" i="13"/>
  <c r="O8" i="13" s="1"/>
  <c r="R8" i="13" s="1"/>
  <c r="R9" i="7"/>
  <c r="T9" i="7" s="1"/>
  <c r="U45" i="13"/>
  <c r="W45" i="13" s="1"/>
  <c r="Z46" i="7"/>
  <c r="AB46" i="7" s="1"/>
  <c r="X161" i="13"/>
  <c r="Q161" i="13"/>
  <c r="S161" i="13" s="1"/>
  <c r="R31" i="13"/>
  <c r="D104" i="2"/>
  <c r="D128" i="2" s="1"/>
  <c r="F80" i="2"/>
  <c r="Q101" i="16"/>
  <c r="AR101" i="16" s="1"/>
  <c r="AC106" i="19" s="1"/>
  <c r="AT101" i="16"/>
  <c r="AU101" i="16"/>
  <c r="D119" i="18" s="1"/>
  <c r="H119" i="18" s="1"/>
  <c r="R298" i="7"/>
  <c r="T298" i="7" s="1"/>
  <c r="Z298" i="7" s="1"/>
  <c r="AB298" i="7" s="1"/>
  <c r="AH298" i="7" s="1"/>
  <c r="AJ298" i="7" s="1"/>
  <c r="AP298" i="7" s="1"/>
  <c r="AR298" i="7" s="1"/>
  <c r="AX298" i="7" s="1"/>
  <c r="M249" i="13"/>
  <c r="O249" i="13" s="1"/>
  <c r="R250" i="7"/>
  <c r="T250" i="7" s="1"/>
  <c r="Z216" i="13"/>
  <c r="R198" i="13"/>
  <c r="R141" i="13"/>
  <c r="Q224" i="13"/>
  <c r="S224" i="13" s="1"/>
  <c r="X224" i="13" s="1"/>
  <c r="AU100" i="16"/>
  <c r="D118" i="18" s="1"/>
  <c r="H118" i="18" s="1"/>
  <c r="Q100" i="16"/>
  <c r="AR100" i="16" s="1"/>
  <c r="AC105" i="19" s="1"/>
  <c r="AT100" i="16"/>
  <c r="N25" i="19"/>
  <c r="E42" i="18"/>
  <c r="R281" i="13"/>
  <c r="BT19" i="8"/>
  <c r="M127" i="13"/>
  <c r="O127" i="13" s="1"/>
  <c r="R128" i="7"/>
  <c r="T128" i="7" s="1"/>
  <c r="M78" i="13"/>
  <c r="O78" i="13" s="1"/>
  <c r="R78" i="13" s="1"/>
  <c r="R79" i="7"/>
  <c r="T79" i="7" s="1"/>
  <c r="U166" i="13"/>
  <c r="W166" i="13" s="1"/>
  <c r="Z167" i="7"/>
  <c r="AB167" i="7" s="1"/>
  <c r="X147" i="13"/>
  <c r="Q147" i="13"/>
  <c r="S147" i="13" s="1"/>
  <c r="AC206" i="13"/>
  <c r="AE206" i="13" s="1"/>
  <c r="AH207" i="7"/>
  <c r="AJ207" i="7" s="1"/>
  <c r="R85" i="13"/>
  <c r="Q169" i="13"/>
  <c r="Q26" i="13"/>
  <c r="S26" i="13" s="1"/>
  <c r="X26" i="13" s="1"/>
  <c r="AT31" i="16"/>
  <c r="AO31" i="16"/>
  <c r="BS8" i="8"/>
  <c r="BU8" i="8" s="1"/>
  <c r="G103" i="19" s="1"/>
  <c r="V103" i="19" s="1"/>
  <c r="BW47" i="8"/>
  <c r="R218" i="13"/>
  <c r="Q53" i="13"/>
  <c r="S53" i="13" s="1"/>
  <c r="X53" i="13" s="1"/>
  <c r="X94" i="13"/>
  <c r="Q94" i="13"/>
  <c r="S94" i="13" s="1"/>
  <c r="X219" i="13"/>
  <c r="Q219" i="13"/>
  <c r="S219" i="13" s="1"/>
  <c r="X30" i="13"/>
  <c r="Q30" i="13"/>
  <c r="S30" i="13" s="1"/>
  <c r="G43" i="22"/>
  <c r="H43" i="22" s="1"/>
  <c r="AR43" i="16"/>
  <c r="R235" i="13"/>
  <c r="R299" i="7"/>
  <c r="T299" i="7" s="1"/>
  <c r="Z299" i="7" s="1"/>
  <c r="AB299" i="7" s="1"/>
  <c r="AH299" i="7" s="1"/>
  <c r="AJ299" i="7" s="1"/>
  <c r="AP299" i="7" s="1"/>
  <c r="AR299" i="7" s="1"/>
  <c r="AX299" i="7" s="1"/>
  <c r="V51" i="19"/>
  <c r="AE51" i="19" s="1"/>
  <c r="Q212" i="13"/>
  <c r="S212" i="13" s="1"/>
  <c r="X212" i="13"/>
  <c r="M122" i="13"/>
  <c r="O122" i="13" s="1"/>
  <c r="R123" i="7"/>
  <c r="T123" i="7" s="1"/>
  <c r="Q205" i="13"/>
  <c r="S205" i="13" s="1"/>
  <c r="X205" i="13" s="1"/>
  <c r="U153" i="13"/>
  <c r="W153" i="13" s="1"/>
  <c r="Z154" i="7"/>
  <c r="AB154" i="7" s="1"/>
  <c r="U96" i="13"/>
  <c r="W96" i="13" s="1"/>
  <c r="Z96" i="13" s="1"/>
  <c r="Z97" i="7"/>
  <c r="AB97" i="7" s="1"/>
  <c r="I22" i="13"/>
  <c r="K22" i="13" s="1"/>
  <c r="P22" i="13" s="1"/>
  <c r="J22" i="13"/>
  <c r="M14" i="13"/>
  <c r="O14" i="13" s="1"/>
  <c r="R15" i="7"/>
  <c r="T15" i="7" s="1"/>
  <c r="R97" i="13"/>
  <c r="R179" i="13"/>
  <c r="R161" i="13"/>
  <c r="Q104" i="16"/>
  <c r="AR104" i="16" s="1"/>
  <c r="AC109" i="19" s="1"/>
  <c r="AU104" i="16"/>
  <c r="D122" i="18" s="1"/>
  <c r="H122" i="18" s="1"/>
  <c r="AT104" i="16"/>
  <c r="Q268" i="13"/>
  <c r="S268" i="13" s="1"/>
  <c r="X268" i="13" s="1"/>
  <c r="M248" i="13"/>
  <c r="O248" i="13" s="1"/>
  <c r="R248" i="13" s="1"/>
  <c r="R249" i="7"/>
  <c r="T249" i="7" s="1"/>
  <c r="R170" i="13"/>
  <c r="J77" i="13"/>
  <c r="I77" i="13"/>
  <c r="J9" i="13"/>
  <c r="I9" i="13"/>
  <c r="AT29" i="16"/>
  <c r="AO29" i="16"/>
  <c r="C86" i="18"/>
  <c r="AV68" i="16"/>
  <c r="C79" i="18"/>
  <c r="AV61" i="16"/>
  <c r="Q285" i="13"/>
  <c r="S285" i="13" s="1"/>
  <c r="X285" i="13" s="1"/>
  <c r="R273" i="13"/>
  <c r="BJ45" i="8"/>
  <c r="BF6" i="8"/>
  <c r="BH6" i="8" s="1"/>
  <c r="G82" i="19" s="1"/>
  <c r="V82" i="19" s="1"/>
  <c r="R220" i="13"/>
  <c r="BU14" i="8"/>
  <c r="G109" i="19" s="1"/>
  <c r="V109" i="19" s="1"/>
  <c r="M123" i="13"/>
  <c r="O123" i="13" s="1"/>
  <c r="R124" i="7"/>
  <c r="T124" i="7" s="1"/>
  <c r="M74" i="13"/>
  <c r="O74" i="13" s="1"/>
  <c r="R74" i="13" s="1"/>
  <c r="R75" i="7"/>
  <c r="T75" i="7" s="1"/>
  <c r="AW56" i="8"/>
  <c r="AS17" i="8"/>
  <c r="AU17" i="8" s="1"/>
  <c r="G74" i="19" s="1"/>
  <c r="X185" i="13"/>
  <c r="Q185" i="13"/>
  <c r="S185" i="13" s="1"/>
  <c r="M130" i="13"/>
  <c r="O130" i="13" s="1"/>
  <c r="R130" i="13" s="1"/>
  <c r="R131" i="7"/>
  <c r="T131" i="7" s="1"/>
  <c r="X231" i="13"/>
  <c r="Q231" i="13"/>
  <c r="S231" i="13" s="1"/>
  <c r="U147" i="13"/>
  <c r="W147" i="13" s="1"/>
  <c r="Z147" i="13" s="1"/>
  <c r="Z148" i="7"/>
  <c r="AB148" i="7" s="1"/>
  <c r="M15" i="13"/>
  <c r="O15" i="13" s="1"/>
  <c r="R16" i="7"/>
  <c r="T16" i="7" s="1"/>
  <c r="R150" i="13"/>
  <c r="R52" i="13"/>
  <c r="K228" i="13"/>
  <c r="P228" i="13" s="1"/>
  <c r="R169" i="13"/>
  <c r="C84" i="18"/>
  <c r="AV66" i="16"/>
  <c r="X48" i="9"/>
  <c r="AA48" i="9" s="1"/>
  <c r="J292" i="7"/>
  <c r="L40" i="9"/>
  <c r="O40" i="9" s="1"/>
  <c r="BJ49" i="8"/>
  <c r="BF10" i="8"/>
  <c r="BH10" i="8" s="1"/>
  <c r="G86" i="19" s="1"/>
  <c r="V86" i="19" s="1"/>
  <c r="R269" i="13"/>
  <c r="U266" i="13"/>
  <c r="W266" i="13" s="1"/>
  <c r="Z267" i="7"/>
  <c r="AB267" i="7" s="1"/>
  <c r="U267" i="13"/>
  <c r="W267" i="13" s="1"/>
  <c r="Z268" i="7"/>
  <c r="AB268" i="7" s="1"/>
  <c r="J126" i="13"/>
  <c r="I126" i="13"/>
  <c r="K126" i="13" s="1"/>
  <c r="P126" i="13" s="1"/>
  <c r="Z221" i="13"/>
  <c r="I237" i="13"/>
  <c r="K237" i="13" s="1"/>
  <c r="P237" i="13" s="1"/>
  <c r="J237" i="13"/>
  <c r="R149" i="13"/>
  <c r="X41" i="13"/>
  <c r="Q41" i="13"/>
  <c r="S41" i="13" s="1"/>
  <c r="R219" i="13"/>
  <c r="R173" i="13"/>
  <c r="U30" i="13"/>
  <c r="W30" i="13" s="1"/>
  <c r="Z30" i="13" s="1"/>
  <c r="Z31" i="7"/>
  <c r="AB31" i="7" s="1"/>
  <c r="S258" i="13"/>
  <c r="X258" i="13" s="1"/>
  <c r="U162" i="13"/>
  <c r="W162" i="13" s="1"/>
  <c r="Z163" i="7"/>
  <c r="AB163" i="7" s="1"/>
  <c r="Y178" i="7"/>
  <c r="S195" i="7"/>
  <c r="R50" i="13"/>
  <c r="R307" i="7"/>
  <c r="T307" i="7" s="1"/>
  <c r="Z307" i="7" s="1"/>
  <c r="AB307" i="7" s="1"/>
  <c r="AH307" i="7" s="1"/>
  <c r="AJ307" i="7" s="1"/>
  <c r="AP307" i="7" s="1"/>
  <c r="AR307" i="7" s="1"/>
  <c r="AX307" i="7" s="1"/>
  <c r="G25" i="22"/>
  <c r="H25" i="22" s="1"/>
  <c r="AR25" i="16"/>
  <c r="AC26" i="19" s="1"/>
  <c r="C31" i="18"/>
  <c r="I31" i="18" s="1"/>
  <c r="K31" i="18" s="1"/>
  <c r="E13" i="18" s="1"/>
  <c r="Q13" i="19" s="1"/>
  <c r="AV13" i="16"/>
  <c r="C41" i="18"/>
  <c r="AT36" i="16"/>
  <c r="AV23" i="16"/>
  <c r="AS9" i="8"/>
  <c r="AU9" i="8" s="1"/>
  <c r="G66" i="19" s="1"/>
  <c r="AW48" i="8"/>
  <c r="C80" i="18"/>
  <c r="AV62" i="16"/>
  <c r="C89" i="18"/>
  <c r="AV71" i="16"/>
  <c r="AL45" i="16"/>
  <c r="AO45" i="16" s="1"/>
  <c r="Y24" i="14"/>
  <c r="D21" i="3"/>
  <c r="E19" i="3" s="1"/>
  <c r="D22" i="3"/>
  <c r="D24" i="3" s="1"/>
  <c r="S207" i="13" l="1"/>
  <c r="X207" i="13" s="1"/>
  <c r="I50" i="18"/>
  <c r="K50" i="18" s="1"/>
  <c r="H14" i="18" s="1"/>
  <c r="Q33" i="19" s="1"/>
  <c r="Y205" i="13"/>
  <c r="Y53" i="13"/>
  <c r="Y262" i="13"/>
  <c r="Y184" i="13"/>
  <c r="E34" i="25"/>
  <c r="AE109" i="19"/>
  <c r="Y268" i="13"/>
  <c r="BC59" i="8"/>
  <c r="AU59" i="8"/>
  <c r="AW59" i="8" s="1"/>
  <c r="Y27" i="13"/>
  <c r="Y198" i="13"/>
  <c r="Y167" i="13"/>
  <c r="Y188" i="13"/>
  <c r="E11" i="25"/>
  <c r="AE86" i="19"/>
  <c r="Y285" i="13"/>
  <c r="AA285" i="13" s="1"/>
  <c r="AF285" i="13" s="1"/>
  <c r="Z285" i="13"/>
  <c r="Y224" i="13"/>
  <c r="Y35" i="13"/>
  <c r="AF18" i="8"/>
  <c r="AH18" i="8" s="1"/>
  <c r="G56" i="19" s="1"/>
  <c r="AK57" i="8"/>
  <c r="C34" i="8"/>
  <c r="E30" i="5"/>
  <c r="E32" i="5" s="1"/>
  <c r="Y162" i="13"/>
  <c r="Y206" i="13"/>
  <c r="Z206" i="13"/>
  <c r="Y26" i="13"/>
  <c r="E32" i="25"/>
  <c r="AE107" i="19"/>
  <c r="Y83" i="13"/>
  <c r="Y92" i="13"/>
  <c r="E30" i="25"/>
  <c r="AE105" i="19"/>
  <c r="E7" i="25"/>
  <c r="AE82" i="19"/>
  <c r="E28" i="25"/>
  <c r="AE103" i="19"/>
  <c r="Y207" i="13"/>
  <c r="Y204" i="13"/>
  <c r="Y171" i="13"/>
  <c r="Y199" i="13"/>
  <c r="E26" i="25"/>
  <c r="AE101" i="19"/>
  <c r="Y201" i="13"/>
  <c r="Z201" i="13"/>
  <c r="Y202" i="13"/>
  <c r="Z202" i="13"/>
  <c r="Y283" i="13"/>
  <c r="Z283" i="13"/>
  <c r="Y163" i="13"/>
  <c r="Y276" i="13"/>
  <c r="Y280" i="13"/>
  <c r="Y259" i="13"/>
  <c r="Z259" i="13"/>
  <c r="Y41" i="13"/>
  <c r="G45" i="22"/>
  <c r="H45" i="22" s="1"/>
  <c r="AR45" i="16"/>
  <c r="AC266" i="13"/>
  <c r="AE266" i="13" s="1"/>
  <c r="AH267" i="7"/>
  <c r="AJ267" i="7" s="1"/>
  <c r="Y219" i="13"/>
  <c r="AC276" i="13"/>
  <c r="AE276" i="13" s="1"/>
  <c r="AH277" i="7"/>
  <c r="AJ277" i="7" s="1"/>
  <c r="C30" i="18"/>
  <c r="I30" i="18" s="1"/>
  <c r="K30" i="18" s="1"/>
  <c r="E12" i="18" s="1"/>
  <c r="Q12" i="19" s="1"/>
  <c r="AV12" i="16"/>
  <c r="M175" i="13"/>
  <c r="O158" i="13"/>
  <c r="Q250" i="13"/>
  <c r="AC52" i="13"/>
  <c r="AE52" i="13" s="1"/>
  <c r="AH53" i="7"/>
  <c r="AJ53" i="7" s="1"/>
  <c r="Q255" i="13"/>
  <c r="S255" i="13" s="1"/>
  <c r="X255" i="13" s="1"/>
  <c r="Q12" i="13"/>
  <c r="O139" i="13"/>
  <c r="M156" i="13"/>
  <c r="AC218" i="13"/>
  <c r="AE218" i="13" s="1"/>
  <c r="AH219" i="7"/>
  <c r="AJ219" i="7" s="1"/>
  <c r="Q140" i="13"/>
  <c r="P6" i="13"/>
  <c r="C32" i="18"/>
  <c r="I32" i="18" s="1"/>
  <c r="K32" i="18" s="1"/>
  <c r="E14" i="18" s="1"/>
  <c r="Q14" i="19" s="1"/>
  <c r="AV14" i="16"/>
  <c r="P27" i="15"/>
  <c r="T45" i="14"/>
  <c r="Y45" i="14" s="1"/>
  <c r="AC28" i="13"/>
  <c r="AE28" i="13" s="1"/>
  <c r="AH29" i="7"/>
  <c r="AJ29" i="7" s="1"/>
  <c r="Q166" i="13"/>
  <c r="C109" i="18"/>
  <c r="G24" i="22"/>
  <c r="H24" i="22" s="1"/>
  <c r="AR24" i="16"/>
  <c r="AC25" i="19" s="1"/>
  <c r="AC51" i="13"/>
  <c r="AE51" i="13" s="1"/>
  <c r="AH52" i="7"/>
  <c r="AJ52" i="7" s="1"/>
  <c r="V19" i="19"/>
  <c r="AE5" i="19"/>
  <c r="AE19" i="19" s="1"/>
  <c r="O177" i="13"/>
  <c r="M194" i="13"/>
  <c r="AC98" i="13"/>
  <c r="AE98" i="13" s="1"/>
  <c r="AH99" i="7"/>
  <c r="AJ99" i="7" s="1"/>
  <c r="U240" i="13"/>
  <c r="W240" i="13" s="1"/>
  <c r="Z241" i="7"/>
  <c r="AB241" i="7" s="1"/>
  <c r="K270" i="13"/>
  <c r="F37" i="12" s="1"/>
  <c r="H37" i="12" s="1"/>
  <c r="E17" i="12" s="1"/>
  <c r="K17" i="19" s="1"/>
  <c r="P253" i="13"/>
  <c r="Z41" i="13"/>
  <c r="Q87" i="13"/>
  <c r="M213" i="13"/>
  <c r="O196" i="13"/>
  <c r="U245" i="13"/>
  <c r="W245" i="13" s="1"/>
  <c r="Z246" i="7"/>
  <c r="AB246" i="7" s="1"/>
  <c r="AC226" i="13"/>
  <c r="AE226" i="13" s="1"/>
  <c r="AH227" i="7"/>
  <c r="AJ227" i="7" s="1"/>
  <c r="Y7" i="7"/>
  <c r="S24" i="7"/>
  <c r="U18" i="13"/>
  <c r="W18" i="13" s="1"/>
  <c r="Z19" i="7"/>
  <c r="AB19" i="7" s="1"/>
  <c r="BF60" i="8"/>
  <c r="BP60" i="8" s="1"/>
  <c r="Z200" i="13"/>
  <c r="Z185" i="13"/>
  <c r="R255" i="13"/>
  <c r="E26" i="4"/>
  <c r="E29" i="4" s="1"/>
  <c r="D30" i="4"/>
  <c r="D32" i="4" s="1"/>
  <c r="AF48" i="13"/>
  <c r="Y48" i="13"/>
  <c r="AA48" i="13" s="1"/>
  <c r="U250" i="13"/>
  <c r="W250" i="13" s="1"/>
  <c r="Z251" i="7"/>
  <c r="AB251" i="7" s="1"/>
  <c r="U72" i="13"/>
  <c r="W72" i="13" s="1"/>
  <c r="Z73" i="7"/>
  <c r="AB73" i="7" s="1"/>
  <c r="Q309" i="7"/>
  <c r="S292" i="7"/>
  <c r="U247" i="13"/>
  <c r="W247" i="13" s="1"/>
  <c r="Z248" i="7"/>
  <c r="AB248" i="7" s="1"/>
  <c r="U238" i="13"/>
  <c r="W238" i="13" s="1"/>
  <c r="Z239" i="7"/>
  <c r="AB239" i="7" s="1"/>
  <c r="Z204" i="13"/>
  <c r="U236" i="13"/>
  <c r="W236" i="13" s="1"/>
  <c r="Z237" i="7"/>
  <c r="AB237" i="7" s="1"/>
  <c r="AC261" i="13"/>
  <c r="AE261" i="13" s="1"/>
  <c r="AH262" i="7"/>
  <c r="AJ262" i="7" s="1"/>
  <c r="AG225" i="13"/>
  <c r="Y96" i="13"/>
  <c r="AA96" i="13" s="1"/>
  <c r="AF96" i="13"/>
  <c r="X29" i="9"/>
  <c r="AA29" i="9" s="1"/>
  <c r="S56" i="13"/>
  <c r="X56" i="13" s="1"/>
  <c r="U246" i="13"/>
  <c r="W246" i="13" s="1"/>
  <c r="Z247" i="7"/>
  <c r="AB247" i="7" s="1"/>
  <c r="Y154" i="13"/>
  <c r="AA154" i="13" s="1"/>
  <c r="AF154" i="13" s="1"/>
  <c r="AC167" i="13"/>
  <c r="AE167" i="13" s="1"/>
  <c r="AH168" i="7"/>
  <c r="AJ168" i="7" s="1"/>
  <c r="AC159" i="13"/>
  <c r="AE159" i="13" s="1"/>
  <c r="AH160" i="7"/>
  <c r="AJ160" i="7" s="1"/>
  <c r="Q16" i="13"/>
  <c r="S16" i="13" s="1"/>
  <c r="X16" i="13" s="1"/>
  <c r="P120" i="13"/>
  <c r="AC132" i="13"/>
  <c r="AE132" i="13" s="1"/>
  <c r="AH133" i="7"/>
  <c r="AJ133" i="7" s="1"/>
  <c r="Q124" i="13"/>
  <c r="Y172" i="13"/>
  <c r="AA172" i="13" s="1"/>
  <c r="AF172" i="13"/>
  <c r="BS48" i="8"/>
  <c r="BU48" i="8" s="1"/>
  <c r="Q21" i="13"/>
  <c r="S21" i="13" s="1"/>
  <c r="X21" i="13" s="1"/>
  <c r="AC207" i="13"/>
  <c r="AE207" i="13" s="1"/>
  <c r="AH208" i="7"/>
  <c r="AJ208" i="7" s="1"/>
  <c r="X59" i="13"/>
  <c r="Q59" i="13"/>
  <c r="S59" i="13" s="1"/>
  <c r="AC188" i="13"/>
  <c r="AE188" i="13" s="1"/>
  <c r="AH189" i="7"/>
  <c r="AJ189" i="7" s="1"/>
  <c r="Q130" i="13"/>
  <c r="S130" i="13" s="1"/>
  <c r="X130" i="13" s="1"/>
  <c r="Q74" i="13"/>
  <c r="S74" i="13" s="1"/>
  <c r="X74" i="13" s="1"/>
  <c r="AK284" i="13"/>
  <c r="AM284" i="13" s="1"/>
  <c r="AP285" i="7"/>
  <c r="AR285" i="7" s="1"/>
  <c r="Y221" i="13"/>
  <c r="AA221" i="13" s="1"/>
  <c r="AF221" i="13" s="1"/>
  <c r="AC140" i="13"/>
  <c r="AE140" i="13" s="1"/>
  <c r="AH141" i="7"/>
  <c r="AJ141" i="7" s="1"/>
  <c r="X248" i="13"/>
  <c r="Q248" i="13"/>
  <c r="S248" i="13" s="1"/>
  <c r="AC278" i="13"/>
  <c r="AE278" i="13" s="1"/>
  <c r="AH279" i="7"/>
  <c r="AJ279" i="7" s="1"/>
  <c r="AC190" i="13"/>
  <c r="AE190" i="13" s="1"/>
  <c r="AH191" i="7"/>
  <c r="AJ191" i="7" s="1"/>
  <c r="U7" i="13"/>
  <c r="W7" i="13" s="1"/>
  <c r="Z8" i="7"/>
  <c r="AB8" i="7" s="1"/>
  <c r="O25" i="13"/>
  <c r="M42" i="13"/>
  <c r="Q78" i="13"/>
  <c r="S78" i="13" s="1"/>
  <c r="X78" i="13"/>
  <c r="Z262" i="13"/>
  <c r="Q38" i="13"/>
  <c r="AC58" i="13"/>
  <c r="AE58" i="13" s="1"/>
  <c r="AH59" i="7"/>
  <c r="AJ59" i="7" s="1"/>
  <c r="AQ55" i="16"/>
  <c r="AK183" i="13"/>
  <c r="AM183" i="13" s="1"/>
  <c r="AP184" i="7"/>
  <c r="AR184" i="7" s="1"/>
  <c r="Z83" i="13"/>
  <c r="AC37" i="13"/>
  <c r="AE37" i="13" s="1"/>
  <c r="AH38" i="7"/>
  <c r="AJ38" i="7" s="1"/>
  <c r="X128" i="13"/>
  <c r="Q128" i="13"/>
  <c r="S128" i="13" s="1"/>
  <c r="E13" i="25"/>
  <c r="AE88" i="19"/>
  <c r="Z163" i="13"/>
  <c r="AC84" i="13"/>
  <c r="AE84" i="13" s="1"/>
  <c r="AH85" i="7"/>
  <c r="AJ85" i="7" s="1"/>
  <c r="V66" i="19"/>
  <c r="AE66" i="19" s="1"/>
  <c r="Q31" i="13"/>
  <c r="S31" i="13" s="1"/>
  <c r="X31" i="13" s="1"/>
  <c r="U10" i="13"/>
  <c r="W10" i="13" s="1"/>
  <c r="Z11" i="7"/>
  <c r="AB11" i="7" s="1"/>
  <c r="M120" i="13"/>
  <c r="R121" i="7"/>
  <c r="L138" i="7"/>
  <c r="A46" i="18" s="1"/>
  <c r="F46" i="18" s="1"/>
  <c r="AC95" i="13"/>
  <c r="AE95" i="13" s="1"/>
  <c r="AH96" i="7"/>
  <c r="AJ96" i="7" s="1"/>
  <c r="S220" i="13"/>
  <c r="X220" i="13" s="1"/>
  <c r="AK286" i="13"/>
  <c r="AM286" i="13" s="1"/>
  <c r="AP287" i="7"/>
  <c r="AR287" i="7" s="1"/>
  <c r="AK191" i="13"/>
  <c r="AM191" i="13" s="1"/>
  <c r="AP192" i="7"/>
  <c r="AR192" i="7" s="1"/>
  <c r="AC29" i="13"/>
  <c r="AE29" i="13" s="1"/>
  <c r="AH30" i="7"/>
  <c r="AJ30" i="7" s="1"/>
  <c r="Q145" i="13"/>
  <c r="S145" i="13" s="1"/>
  <c r="X145" i="13" s="1"/>
  <c r="Q68" i="13"/>
  <c r="AK258" i="13"/>
  <c r="AM258" i="13" s="1"/>
  <c r="AP259" i="7"/>
  <c r="AR259" i="7" s="1"/>
  <c r="AC277" i="13"/>
  <c r="AE277" i="13" s="1"/>
  <c r="AH278" i="7"/>
  <c r="AJ278" i="7" s="1"/>
  <c r="Q108" i="16"/>
  <c r="AR95" i="16"/>
  <c r="U134" i="13"/>
  <c r="W134" i="13" s="1"/>
  <c r="Z135" i="7"/>
  <c r="AB135" i="7" s="1"/>
  <c r="AC36" i="13"/>
  <c r="AE36" i="13" s="1"/>
  <c r="AH37" i="7"/>
  <c r="AJ37" i="7" s="1"/>
  <c r="Q159" i="13"/>
  <c r="S159" i="13" s="1"/>
  <c r="X159" i="13" s="1"/>
  <c r="AC54" i="13"/>
  <c r="AE54" i="13" s="1"/>
  <c r="AH55" i="7"/>
  <c r="AJ55" i="7" s="1"/>
  <c r="Q18" i="13"/>
  <c r="S18" i="13" s="1"/>
  <c r="X18" i="13" s="1"/>
  <c r="AK182" i="13"/>
  <c r="AM182" i="13" s="1"/>
  <c r="AP183" i="7"/>
  <c r="AR183" i="7" s="1"/>
  <c r="AK257" i="13"/>
  <c r="AM257" i="13" s="1"/>
  <c r="AP258" i="7"/>
  <c r="AR258" i="7" s="1"/>
  <c r="U68" i="13"/>
  <c r="W68" i="13" s="1"/>
  <c r="Z69" i="7"/>
  <c r="AB69" i="7" s="1"/>
  <c r="U79" i="13"/>
  <c r="W79" i="13" s="1"/>
  <c r="Z80" i="7"/>
  <c r="AB80" i="7" s="1"/>
  <c r="AC205" i="13"/>
  <c r="AE205" i="13" s="1"/>
  <c r="AH206" i="7"/>
  <c r="AJ206" i="7" s="1"/>
  <c r="AC174" i="13"/>
  <c r="AE174" i="13" s="1"/>
  <c r="AH175" i="7"/>
  <c r="AJ175" i="7" s="1"/>
  <c r="S132" i="13"/>
  <c r="X132" i="13" s="1"/>
  <c r="Y214" i="7"/>
  <c r="AA197" i="7"/>
  <c r="C44" i="18"/>
  <c r="AV26" i="16"/>
  <c r="AC44" i="19"/>
  <c r="AV42" i="16"/>
  <c r="C60" i="18" s="1"/>
  <c r="G16" i="22"/>
  <c r="H16" i="22" s="1"/>
  <c r="AR16" i="16"/>
  <c r="AC16" i="19" s="1"/>
  <c r="C53" i="18"/>
  <c r="I53" i="18" s="1"/>
  <c r="K53" i="18" s="1"/>
  <c r="H17" i="18" s="1"/>
  <c r="Q36" i="19" s="1"/>
  <c r="AV35" i="16"/>
  <c r="G15" i="22"/>
  <c r="H15" i="22" s="1"/>
  <c r="AR15" i="16"/>
  <c r="AC15" i="19" s="1"/>
  <c r="AS5" i="8"/>
  <c r="AW44" i="8"/>
  <c r="Q126" i="13"/>
  <c r="AF48" i="9"/>
  <c r="P7" i="9" s="1"/>
  <c r="D83" i="19" s="1"/>
  <c r="V83" i="19" s="1"/>
  <c r="AD48" i="9"/>
  <c r="AG48" i="9" s="1"/>
  <c r="G29" i="22"/>
  <c r="H29" i="22" s="1"/>
  <c r="AR29" i="16"/>
  <c r="AC30" i="19" s="1"/>
  <c r="U14" i="13"/>
  <c r="W14" i="13" s="1"/>
  <c r="Z15" i="7"/>
  <c r="AB15" i="7" s="1"/>
  <c r="AC96" i="13"/>
  <c r="AE96" i="13" s="1"/>
  <c r="AH96" i="13" s="1"/>
  <c r="AH97" i="7"/>
  <c r="AJ97" i="7" s="1"/>
  <c r="Y212" i="13"/>
  <c r="U8" i="13"/>
  <c r="W8" i="13" s="1"/>
  <c r="Z9" i="7"/>
  <c r="AB9" i="7" s="1"/>
  <c r="AC55" i="13"/>
  <c r="AE55" i="13" s="1"/>
  <c r="AH56" i="7"/>
  <c r="AJ56" i="7" s="1"/>
  <c r="Z37" i="9"/>
  <c r="X37" i="9"/>
  <c r="AA37" i="9" s="1"/>
  <c r="AC172" i="13"/>
  <c r="AE172" i="13" s="1"/>
  <c r="AH172" i="13" s="1"/>
  <c r="AH173" i="7"/>
  <c r="AJ173" i="7" s="1"/>
  <c r="S97" i="13"/>
  <c r="X97" i="13" s="1"/>
  <c r="AC49" i="19"/>
  <c r="AV47" i="16"/>
  <c r="C65" i="18" s="1"/>
  <c r="AC228" i="13"/>
  <c r="AE228" i="13" s="1"/>
  <c r="AH229" i="7"/>
  <c r="AJ229" i="7" s="1"/>
  <c r="U133" i="13"/>
  <c r="W133" i="13" s="1"/>
  <c r="Z134" i="7"/>
  <c r="AB134" i="7" s="1"/>
  <c r="AG178" i="13"/>
  <c r="Y43" i="14"/>
  <c r="Y200" i="13"/>
  <c r="AA200" i="13" s="1"/>
  <c r="AF200" i="13" s="1"/>
  <c r="U77" i="13"/>
  <c r="W77" i="13" s="1"/>
  <c r="Z78" i="7"/>
  <c r="AB78" i="7" s="1"/>
  <c r="Q39" i="13"/>
  <c r="S39" i="13" s="1"/>
  <c r="X39" i="13"/>
  <c r="AC198" i="13"/>
  <c r="AE198" i="13" s="1"/>
  <c r="AH199" i="7"/>
  <c r="AJ199" i="7" s="1"/>
  <c r="U69" i="13"/>
  <c r="W69" i="13" s="1"/>
  <c r="Z70" i="7"/>
  <c r="AB70" i="7" s="1"/>
  <c r="X148" i="13"/>
  <c r="Q148" i="13"/>
  <c r="S148" i="13" s="1"/>
  <c r="AK201" i="13"/>
  <c r="AM201" i="13" s="1"/>
  <c r="AP202" i="7"/>
  <c r="AR202" i="7" s="1"/>
  <c r="E26" i="18"/>
  <c r="N8" i="19"/>
  <c r="E22" i="3"/>
  <c r="E24" i="3" s="1"/>
  <c r="E21" i="3"/>
  <c r="F19" i="3" s="1"/>
  <c r="Y258" i="13"/>
  <c r="N40" i="9"/>
  <c r="Z48" i="9"/>
  <c r="M7" i="9" s="1"/>
  <c r="D64" i="19" s="1"/>
  <c r="V64" i="19" s="1"/>
  <c r="AE64" i="19" s="1"/>
  <c r="U15" i="13"/>
  <c r="W15" i="13" s="1"/>
  <c r="Z16" i="7"/>
  <c r="AB16" i="7" s="1"/>
  <c r="U74" i="13"/>
  <c r="W74" i="13" s="1"/>
  <c r="Z75" i="7"/>
  <c r="AB75" i="7" s="1"/>
  <c r="C47" i="18"/>
  <c r="I47" i="18" s="1"/>
  <c r="K47" i="18" s="1"/>
  <c r="H11" i="18" s="1"/>
  <c r="Q30" i="19" s="1"/>
  <c r="AV29" i="16"/>
  <c r="U248" i="13"/>
  <c r="W248" i="13" s="1"/>
  <c r="Z248" i="13" s="1"/>
  <c r="Z249" i="7"/>
  <c r="AB249" i="7" s="1"/>
  <c r="C122" i="18"/>
  <c r="AV104" i="16"/>
  <c r="G31" i="22"/>
  <c r="H31" i="22" s="1"/>
  <c r="AR31" i="16"/>
  <c r="AC32" i="19" s="1"/>
  <c r="AK206" i="13"/>
  <c r="AM206" i="13" s="1"/>
  <c r="AP207" i="7"/>
  <c r="AR207" i="7" s="1"/>
  <c r="AC166" i="13"/>
  <c r="AE166" i="13" s="1"/>
  <c r="AH167" i="7"/>
  <c r="AJ167" i="7" s="1"/>
  <c r="U127" i="13"/>
  <c r="W127" i="13" s="1"/>
  <c r="Z128" i="7"/>
  <c r="AB128" i="7" s="1"/>
  <c r="AC45" i="13"/>
  <c r="AE45" i="13" s="1"/>
  <c r="AH46" i="7"/>
  <c r="AJ46" i="7" s="1"/>
  <c r="K139" i="13"/>
  <c r="Z276" i="13"/>
  <c r="U128" i="13"/>
  <c r="W128" i="13" s="1"/>
  <c r="Z128" i="13" s="1"/>
  <c r="Z129" i="7"/>
  <c r="AB129" i="7" s="1"/>
  <c r="U66" i="13"/>
  <c r="W66" i="13" s="1"/>
  <c r="Z67" i="7"/>
  <c r="AB67" i="7" s="1"/>
  <c r="S150" i="13"/>
  <c r="X150" i="13" s="1"/>
  <c r="Z231" i="13"/>
  <c r="AC143" i="13"/>
  <c r="AE143" i="13" s="1"/>
  <c r="AH144" i="7"/>
  <c r="AJ144" i="7" s="1"/>
  <c r="AC212" i="13"/>
  <c r="AE212" i="13" s="1"/>
  <c r="AH213" i="7"/>
  <c r="AJ213" i="7" s="1"/>
  <c r="Q25" i="15"/>
  <c r="M62" i="14"/>
  <c r="AC24" i="19"/>
  <c r="AC51" i="19"/>
  <c r="AV49" i="16"/>
  <c r="C67" i="18" s="1"/>
  <c r="U13" i="13"/>
  <c r="W13" i="13" s="1"/>
  <c r="Z14" i="7"/>
  <c r="AB14" i="7" s="1"/>
  <c r="AC219" i="13"/>
  <c r="AE219" i="13" s="1"/>
  <c r="AH220" i="7"/>
  <c r="AJ220" i="7" s="1"/>
  <c r="U237" i="13"/>
  <c r="W237" i="13" s="1"/>
  <c r="Z238" i="7"/>
  <c r="AB238" i="7" s="1"/>
  <c r="U126" i="13"/>
  <c r="W126" i="13" s="1"/>
  <c r="Z127" i="7"/>
  <c r="AB127" i="7" s="1"/>
  <c r="Z30" i="9"/>
  <c r="N11" i="9" s="1"/>
  <c r="E68" i="19" s="1"/>
  <c r="X30" i="9"/>
  <c r="AA30" i="9" s="1"/>
  <c r="K121" i="13"/>
  <c r="P121" i="13" s="1"/>
  <c r="AC273" i="13"/>
  <c r="AE273" i="13" s="1"/>
  <c r="AH274" i="7"/>
  <c r="AJ274" i="7" s="1"/>
  <c r="AC181" i="13"/>
  <c r="AE181" i="13" s="1"/>
  <c r="AH182" i="7"/>
  <c r="AJ182" i="7" s="1"/>
  <c r="K247" i="13"/>
  <c r="P247" i="13" s="1"/>
  <c r="R247" i="13" s="1"/>
  <c r="Q36" i="13"/>
  <c r="S36" i="13" s="1"/>
  <c r="X36" i="13"/>
  <c r="O82" i="13"/>
  <c r="M99" i="13"/>
  <c r="K238" i="13"/>
  <c r="P238" i="13" s="1"/>
  <c r="R238" i="13" s="1"/>
  <c r="C115" i="18"/>
  <c r="AV97" i="16"/>
  <c r="K67" i="13"/>
  <c r="P67" i="13" s="1"/>
  <c r="K125" i="13"/>
  <c r="P125" i="13" s="1"/>
  <c r="M61" i="13"/>
  <c r="O44" i="13"/>
  <c r="Z198" i="13"/>
  <c r="Q208" i="13"/>
  <c r="AF16" i="8"/>
  <c r="AK55" i="8"/>
  <c r="AK61" i="8" s="1"/>
  <c r="AI61" i="8"/>
  <c r="X235" i="13"/>
  <c r="Q235" i="13"/>
  <c r="S235" i="13" s="1"/>
  <c r="N26" i="19"/>
  <c r="E43" i="18"/>
  <c r="AC222" i="13"/>
  <c r="AE222" i="13" s="1"/>
  <c r="AH223" i="7"/>
  <c r="AJ223" i="7" s="1"/>
  <c r="Q218" i="13"/>
  <c r="S218" i="13" s="1"/>
  <c r="X218" i="13" s="1"/>
  <c r="M289" i="13"/>
  <c r="O272" i="13"/>
  <c r="O28" i="15"/>
  <c r="T27" i="14"/>
  <c r="Q64" i="13"/>
  <c r="S64" i="13" s="1"/>
  <c r="X64" i="13" s="1"/>
  <c r="C42" i="18"/>
  <c r="I42" i="18" s="1"/>
  <c r="K42" i="18" s="1"/>
  <c r="H6" i="18" s="1"/>
  <c r="Q25" i="19" s="1"/>
  <c r="AV24" i="16"/>
  <c r="AV36" i="16" s="1"/>
  <c r="AC160" i="13"/>
  <c r="AE160" i="13" s="1"/>
  <c r="AH161" i="7"/>
  <c r="AJ161" i="7" s="1"/>
  <c r="G8" i="22"/>
  <c r="H8" i="22" s="1"/>
  <c r="AR8" i="16"/>
  <c r="AC8" i="19" s="1"/>
  <c r="AK146" i="13"/>
  <c r="AM146" i="13" s="1"/>
  <c r="AP147" i="7"/>
  <c r="AR147" i="7" s="1"/>
  <c r="Z98" i="13"/>
  <c r="AS15" i="8"/>
  <c r="AU15" i="8" s="1"/>
  <c r="G72" i="19" s="1"/>
  <c r="V72" i="19" s="1"/>
  <c r="AE72" i="19" s="1"/>
  <c r="AW54" i="8"/>
  <c r="Q32" i="13"/>
  <c r="Q151" i="13"/>
  <c r="S151" i="13" s="1"/>
  <c r="X151" i="13" s="1"/>
  <c r="AK220" i="13"/>
  <c r="AM220" i="13" s="1"/>
  <c r="AP221" i="7"/>
  <c r="AR221" i="7" s="1"/>
  <c r="Q40" i="13"/>
  <c r="S40" i="13" s="1"/>
  <c r="X40" i="13"/>
  <c r="Z40" i="13" s="1"/>
  <c r="AK178" i="13"/>
  <c r="AM178" i="13" s="1"/>
  <c r="AP179" i="7"/>
  <c r="AR179" i="7" s="1"/>
  <c r="K158" i="13"/>
  <c r="AC88" i="13"/>
  <c r="AE88" i="13" s="1"/>
  <c r="AH89" i="7"/>
  <c r="AJ89" i="7" s="1"/>
  <c r="U70" i="13"/>
  <c r="W70" i="13" s="1"/>
  <c r="Z71" i="7"/>
  <c r="AB71" i="7" s="1"/>
  <c r="S84" i="13"/>
  <c r="X84" i="13" s="1"/>
  <c r="S229" i="13"/>
  <c r="X229" i="13" s="1"/>
  <c r="I48" i="18"/>
  <c r="K48" i="18" s="1"/>
  <c r="H12" i="18" s="1"/>
  <c r="Q31" i="19" s="1"/>
  <c r="R250" i="13"/>
  <c r="AD62" i="9"/>
  <c r="AG62" i="9" s="1"/>
  <c r="K14" i="13"/>
  <c r="P14" i="13" s="1"/>
  <c r="R14" i="13" s="1"/>
  <c r="AC35" i="13"/>
  <c r="AE35" i="13" s="1"/>
  <c r="AH36" i="7"/>
  <c r="AJ36" i="7" s="1"/>
  <c r="AC280" i="13"/>
  <c r="AE280" i="13" s="1"/>
  <c r="AH281" i="7"/>
  <c r="AJ281" i="7" s="1"/>
  <c r="AC90" i="13"/>
  <c r="AE90" i="13" s="1"/>
  <c r="AH91" i="7"/>
  <c r="AJ91" i="7" s="1"/>
  <c r="U73" i="13"/>
  <c r="W73" i="13" s="1"/>
  <c r="Z74" i="7"/>
  <c r="AB74" i="7" s="1"/>
  <c r="U76" i="13"/>
  <c r="W76" i="13" s="1"/>
  <c r="Z77" i="7"/>
  <c r="AB77" i="7" s="1"/>
  <c r="S190" i="13"/>
  <c r="X190" i="13" s="1"/>
  <c r="AK89" i="13"/>
  <c r="AM89" i="13" s="1"/>
  <c r="AP90" i="7"/>
  <c r="AR90" i="7" s="1"/>
  <c r="Q8" i="13"/>
  <c r="S8" i="13" s="1"/>
  <c r="X8" i="13" s="1"/>
  <c r="S100" i="7"/>
  <c r="Y83" i="7"/>
  <c r="AS16" i="8"/>
  <c r="AU16" i="8" s="1"/>
  <c r="G73" i="19" s="1"/>
  <c r="V73" i="19" s="1"/>
  <c r="AE73" i="19" s="1"/>
  <c r="AW55" i="8"/>
  <c r="AC43" i="19"/>
  <c r="AR54" i="16"/>
  <c r="T14" i="23" s="1"/>
  <c r="AV41" i="16"/>
  <c r="AA284" i="13"/>
  <c r="AF284" i="13" s="1"/>
  <c r="R32" i="13"/>
  <c r="AC151" i="13"/>
  <c r="AE151" i="13" s="1"/>
  <c r="AH152" i="7"/>
  <c r="AJ152" i="7" s="1"/>
  <c r="Z167" i="13"/>
  <c r="AC47" i="13"/>
  <c r="AE47" i="13" s="1"/>
  <c r="AH48" i="7"/>
  <c r="AJ48" i="7" s="1"/>
  <c r="AC145" i="13"/>
  <c r="AE145" i="13" s="1"/>
  <c r="AH146" i="7"/>
  <c r="AJ146" i="7" s="1"/>
  <c r="AC87" i="13"/>
  <c r="AE87" i="13" s="1"/>
  <c r="AH88" i="7"/>
  <c r="AJ88" i="7" s="1"/>
  <c r="U129" i="13"/>
  <c r="W129" i="13" s="1"/>
  <c r="Z130" i="7"/>
  <c r="AB130" i="7" s="1"/>
  <c r="AF52" i="9"/>
  <c r="P11" i="9" s="1"/>
  <c r="D87" i="19" s="1"/>
  <c r="V87" i="19" s="1"/>
  <c r="AD52" i="9"/>
  <c r="AG52" i="9" s="1"/>
  <c r="S256" i="13"/>
  <c r="X256" i="13" s="1"/>
  <c r="J137" i="13"/>
  <c r="I24" i="9"/>
  <c r="H24" i="9"/>
  <c r="Z132" i="13"/>
  <c r="AC217" i="13"/>
  <c r="AE217" i="13" s="1"/>
  <c r="AH218" i="7"/>
  <c r="AJ218" i="7" s="1"/>
  <c r="X13" i="13"/>
  <c r="Q13" i="13"/>
  <c r="S13" i="13" s="1"/>
  <c r="X50" i="13"/>
  <c r="Q50" i="13"/>
  <c r="S50" i="13" s="1"/>
  <c r="Z207" i="13"/>
  <c r="F35" i="8"/>
  <c r="G35" i="8" s="1"/>
  <c r="Z188" i="13"/>
  <c r="Q46" i="13"/>
  <c r="S46" i="13" s="1"/>
  <c r="X46" i="13" s="1"/>
  <c r="BJ56" i="8"/>
  <c r="BF17" i="8"/>
  <c r="BH17" i="8" s="1"/>
  <c r="G93" i="19" s="1"/>
  <c r="K123" i="13"/>
  <c r="P123" i="13" s="1"/>
  <c r="AH284" i="13"/>
  <c r="AC38" i="13"/>
  <c r="AE38" i="13" s="1"/>
  <c r="AH39" i="7"/>
  <c r="AJ39" i="7" s="1"/>
  <c r="AC224" i="13"/>
  <c r="AE224" i="13" s="1"/>
  <c r="AH225" i="7"/>
  <c r="AJ225" i="7" s="1"/>
  <c r="U12" i="13"/>
  <c r="W12" i="13" s="1"/>
  <c r="Z13" i="7"/>
  <c r="AB13" i="7" s="1"/>
  <c r="K122" i="13"/>
  <c r="P122" i="13" s="1"/>
  <c r="AC275" i="13"/>
  <c r="AE275" i="13" s="1"/>
  <c r="AH276" i="7"/>
  <c r="AJ276" i="7" s="1"/>
  <c r="S257" i="13"/>
  <c r="X257" i="13" s="1"/>
  <c r="AC148" i="13"/>
  <c r="AE148" i="13" s="1"/>
  <c r="AH149" i="7"/>
  <c r="AJ149" i="7" s="1"/>
  <c r="I289" i="13"/>
  <c r="K272" i="13"/>
  <c r="C124" i="18"/>
  <c r="AV106" i="16"/>
  <c r="T216" i="7"/>
  <c r="R233" i="7"/>
  <c r="O23" i="13"/>
  <c r="AF216" i="13"/>
  <c r="Y216" i="13"/>
  <c r="AA216" i="13" s="1"/>
  <c r="Y254" i="7"/>
  <c r="S271" i="7"/>
  <c r="N44" i="19"/>
  <c r="E60" i="18"/>
  <c r="AC27" i="13"/>
  <c r="AE27" i="13" s="1"/>
  <c r="AH28" i="7"/>
  <c r="AJ28" i="7" s="1"/>
  <c r="AK187" i="13"/>
  <c r="AM187" i="13" s="1"/>
  <c r="AP188" i="7"/>
  <c r="AR188" i="7" s="1"/>
  <c r="Y146" i="13"/>
  <c r="AA146" i="13" s="1"/>
  <c r="AF146" i="13"/>
  <c r="M234" i="13"/>
  <c r="L252" i="7"/>
  <c r="A52" i="18" s="1"/>
  <c r="F52" i="18" s="1"/>
  <c r="R235" i="7"/>
  <c r="Q279" i="13"/>
  <c r="Q75" i="13"/>
  <c r="S75" i="13" s="1"/>
  <c r="X75" i="13" s="1"/>
  <c r="X173" i="13"/>
  <c r="Q173" i="13"/>
  <c r="S173" i="13" s="1"/>
  <c r="R38" i="9"/>
  <c r="U38" i="9" s="1"/>
  <c r="T38" i="9"/>
  <c r="AC171" i="13"/>
  <c r="AE171" i="13" s="1"/>
  <c r="AH172" i="7"/>
  <c r="AJ172" i="7" s="1"/>
  <c r="AC92" i="13"/>
  <c r="AE92" i="13" s="1"/>
  <c r="AH93" i="7"/>
  <c r="AJ93" i="7" s="1"/>
  <c r="Q180" i="13"/>
  <c r="S180" i="13" s="1"/>
  <c r="X180" i="13"/>
  <c r="S197" i="13"/>
  <c r="X197" i="13" s="1"/>
  <c r="U17" i="13"/>
  <c r="W17" i="13" s="1"/>
  <c r="Z18" i="7"/>
  <c r="AB18" i="7" s="1"/>
  <c r="AC184" i="13"/>
  <c r="AE184" i="13" s="1"/>
  <c r="AH185" i="7"/>
  <c r="AJ185" i="7" s="1"/>
  <c r="Z84" i="13"/>
  <c r="X34" i="13"/>
  <c r="Z34" i="13" s="1"/>
  <c r="Q34" i="13"/>
  <c r="S34" i="13" s="1"/>
  <c r="Q19" i="13"/>
  <c r="S19" i="13" s="1"/>
  <c r="X19" i="13" s="1"/>
  <c r="Q222" i="13"/>
  <c r="S222" i="13" s="1"/>
  <c r="X222" i="13" s="1"/>
  <c r="R134" i="13"/>
  <c r="U244" i="13"/>
  <c r="W244" i="13" s="1"/>
  <c r="Z245" i="7"/>
  <c r="AB245" i="7" s="1"/>
  <c r="Z36" i="13"/>
  <c r="K177" i="13"/>
  <c r="Q11" i="13"/>
  <c r="S11" i="13" s="1"/>
  <c r="X11" i="13"/>
  <c r="Q79" i="13"/>
  <c r="S79" i="13" s="1"/>
  <c r="X79" i="13"/>
  <c r="Q65" i="13"/>
  <c r="AF60" i="9"/>
  <c r="AD60" i="9"/>
  <c r="AG60" i="9" s="1"/>
  <c r="C121" i="18"/>
  <c r="AV103" i="16"/>
  <c r="Z39" i="9"/>
  <c r="X39" i="9"/>
  <c r="AA39" i="9" s="1"/>
  <c r="R68" i="13"/>
  <c r="U242" i="13"/>
  <c r="W242" i="13" s="1"/>
  <c r="Z243" i="7"/>
  <c r="AB243" i="7" s="1"/>
  <c r="S274" i="13"/>
  <c r="X274" i="13" s="1"/>
  <c r="AK210" i="13"/>
  <c r="AM210" i="13" s="1"/>
  <c r="AP211" i="7"/>
  <c r="AR211" i="7" s="1"/>
  <c r="R79" i="13"/>
  <c r="Z205" i="13"/>
  <c r="N35" i="9"/>
  <c r="H16" i="9" s="1"/>
  <c r="E35" i="19" s="1"/>
  <c r="L35" i="9"/>
  <c r="O35" i="9" s="1"/>
  <c r="X244" i="13"/>
  <c r="Q244" i="13"/>
  <c r="S244" i="13" s="1"/>
  <c r="U20" i="13"/>
  <c r="W20" i="13" s="1"/>
  <c r="Z21" i="7"/>
  <c r="AB21" i="7" s="1"/>
  <c r="R279" i="13"/>
  <c r="AA182" i="13"/>
  <c r="AF182" i="13" s="1"/>
  <c r="C34" i="18"/>
  <c r="I34" i="18" s="1"/>
  <c r="K34" i="18" s="1"/>
  <c r="E16" i="18" s="1"/>
  <c r="Q16" i="19" s="1"/>
  <c r="AV16" i="16"/>
  <c r="C33" i="18"/>
  <c r="I33" i="18" s="1"/>
  <c r="K33" i="18" s="1"/>
  <c r="E15" i="18" s="1"/>
  <c r="Q15" i="19" s="1"/>
  <c r="AV15" i="16"/>
  <c r="BF44" i="8"/>
  <c r="BH44" i="8" s="1"/>
  <c r="AC52" i="19"/>
  <c r="AV50" i="16"/>
  <c r="C68" i="18" s="1"/>
  <c r="Z162" i="13"/>
  <c r="Y147" i="13"/>
  <c r="AA147" i="13" s="1"/>
  <c r="AF147" i="13" s="1"/>
  <c r="C118" i="18"/>
  <c r="AV100" i="16"/>
  <c r="U249" i="13"/>
  <c r="W249" i="13" s="1"/>
  <c r="Z250" i="7"/>
  <c r="AB250" i="7" s="1"/>
  <c r="Y161" i="13"/>
  <c r="R271" i="7"/>
  <c r="T254" i="7"/>
  <c r="AK93" i="13"/>
  <c r="AM93" i="13" s="1"/>
  <c r="AP94" i="7"/>
  <c r="AR94" i="7" s="1"/>
  <c r="AC164" i="13"/>
  <c r="AE164" i="13" s="1"/>
  <c r="AH165" i="7"/>
  <c r="AJ165" i="7" s="1"/>
  <c r="AC231" i="13"/>
  <c r="AE231" i="13" s="1"/>
  <c r="AH232" i="7"/>
  <c r="AJ232" i="7" s="1"/>
  <c r="Z268" i="13"/>
  <c r="Y98" i="13"/>
  <c r="AA98" i="13" s="1"/>
  <c r="AF98" i="13" s="1"/>
  <c r="Z50" i="13"/>
  <c r="Z173" i="13"/>
  <c r="C24" i="18"/>
  <c r="I24" i="18" s="1"/>
  <c r="K24" i="18" s="1"/>
  <c r="E6" i="18" s="1"/>
  <c r="Q6" i="19" s="1"/>
  <c r="AV6" i="16"/>
  <c r="AC179" i="13"/>
  <c r="AE179" i="13" s="1"/>
  <c r="AH180" i="7"/>
  <c r="AJ180" i="7" s="1"/>
  <c r="E9" i="25"/>
  <c r="AE84" i="19"/>
  <c r="N24" i="19"/>
  <c r="E41" i="18"/>
  <c r="Y195" i="7"/>
  <c r="AA178" i="7"/>
  <c r="AC30" i="13"/>
  <c r="AE30" i="13" s="1"/>
  <c r="AH31" i="7"/>
  <c r="AJ31" i="7" s="1"/>
  <c r="Q237" i="13"/>
  <c r="AC267" i="13"/>
  <c r="AE267" i="13" s="1"/>
  <c r="AH268" i="7"/>
  <c r="AJ268" i="7" s="1"/>
  <c r="R40" i="9"/>
  <c r="U40" i="9" s="1"/>
  <c r="T40" i="9"/>
  <c r="Q228" i="13"/>
  <c r="AF231" i="13"/>
  <c r="Y231" i="13"/>
  <c r="AA231" i="13" s="1"/>
  <c r="Y185" i="13"/>
  <c r="AA185" i="13" s="1"/>
  <c r="AF185" i="13" s="1"/>
  <c r="K77" i="13"/>
  <c r="P77" i="13" s="1"/>
  <c r="AC153" i="13"/>
  <c r="AE153" i="13" s="1"/>
  <c r="AH154" i="7"/>
  <c r="AJ154" i="7" s="1"/>
  <c r="U122" i="13"/>
  <c r="W122" i="13" s="1"/>
  <c r="Z123" i="7"/>
  <c r="AB123" i="7" s="1"/>
  <c r="AF30" i="13"/>
  <c r="Y30" i="13"/>
  <c r="AA30" i="13" s="1"/>
  <c r="Y94" i="13"/>
  <c r="C49" i="18"/>
  <c r="I49" i="18" s="1"/>
  <c r="K49" i="18" s="1"/>
  <c r="H13" i="18" s="1"/>
  <c r="Q32" i="19" s="1"/>
  <c r="AV31" i="16"/>
  <c r="S169" i="13"/>
  <c r="X169" i="13" s="1"/>
  <c r="C119" i="18"/>
  <c r="AV101" i="16"/>
  <c r="K82" i="13"/>
  <c r="AC144" i="13"/>
  <c r="AE144" i="13" s="1"/>
  <c r="AH145" i="7"/>
  <c r="AJ145" i="7" s="1"/>
  <c r="M270" i="13"/>
  <c r="O253" i="13"/>
  <c r="S81" i="7"/>
  <c r="Y64" i="7"/>
  <c r="Y26" i="7"/>
  <c r="S43" i="7"/>
  <c r="K25" i="13"/>
  <c r="S157" i="7"/>
  <c r="Y140" i="7"/>
  <c r="S141" i="13"/>
  <c r="X141" i="13" s="1"/>
  <c r="T159" i="7"/>
  <c r="R176" i="7"/>
  <c r="U241" i="13"/>
  <c r="W241" i="13" s="1"/>
  <c r="Z242" i="7"/>
  <c r="AB242" i="7" s="1"/>
  <c r="U16" i="13"/>
  <c r="W16" i="13" s="1"/>
  <c r="Z17" i="7"/>
  <c r="AB17" i="7" s="1"/>
  <c r="BH54" i="8"/>
  <c r="S85" i="13"/>
  <c r="X85" i="13" s="1"/>
  <c r="AC223" i="13"/>
  <c r="AE223" i="13" s="1"/>
  <c r="AH224" i="7"/>
  <c r="AJ224" i="7" s="1"/>
  <c r="Z212" i="13"/>
  <c r="AC46" i="19"/>
  <c r="AV44" i="16"/>
  <c r="C62" i="18" s="1"/>
  <c r="Y89" i="13"/>
  <c r="AA89" i="13" s="1"/>
  <c r="AF89" i="13"/>
  <c r="AH89" i="13" s="1"/>
  <c r="Z219" i="13"/>
  <c r="R237" i="13"/>
  <c r="R126" i="13"/>
  <c r="AC269" i="13"/>
  <c r="AE269" i="13" s="1"/>
  <c r="AH270" i="7"/>
  <c r="AJ270" i="7" s="1"/>
  <c r="AC169" i="13"/>
  <c r="AE169" i="13" s="1"/>
  <c r="AH170" i="7"/>
  <c r="AJ170" i="7" s="1"/>
  <c r="K72" i="13"/>
  <c r="P72" i="13" s="1"/>
  <c r="AC170" i="13"/>
  <c r="AE170" i="13" s="1"/>
  <c r="AH171" i="7"/>
  <c r="AJ171" i="7" s="1"/>
  <c r="AC161" i="13"/>
  <c r="AE161" i="13" s="1"/>
  <c r="AH162" i="7"/>
  <c r="AJ162" i="7" s="1"/>
  <c r="Q54" i="13"/>
  <c r="T140" i="7"/>
  <c r="R157" i="7"/>
  <c r="T34" i="9"/>
  <c r="K15" i="9" s="1"/>
  <c r="E53" i="19" s="1"/>
  <c r="K7" i="13"/>
  <c r="P7" i="13" s="1"/>
  <c r="R7" i="13" s="1"/>
  <c r="K76" i="13"/>
  <c r="P76" i="13" s="1"/>
  <c r="X165" i="13"/>
  <c r="Q165" i="13"/>
  <c r="S165" i="13" s="1"/>
  <c r="AC141" i="13"/>
  <c r="AE141" i="13" s="1"/>
  <c r="AH142" i="7"/>
  <c r="AJ142" i="7" s="1"/>
  <c r="AK216" i="13"/>
  <c r="AM216" i="13" s="1"/>
  <c r="AP217" i="7"/>
  <c r="AR217" i="7" s="1"/>
  <c r="K236" i="13"/>
  <c r="P236" i="13" s="1"/>
  <c r="AC31" i="13"/>
  <c r="AE31" i="13" s="1"/>
  <c r="AH32" i="7"/>
  <c r="AJ32" i="7" s="1"/>
  <c r="AK202" i="13"/>
  <c r="AM202" i="13" s="1"/>
  <c r="AP203" i="7"/>
  <c r="AR203" i="7" s="1"/>
  <c r="Q153" i="13"/>
  <c r="S153" i="13" s="1"/>
  <c r="X153" i="13"/>
  <c r="H18" i="9"/>
  <c r="E37" i="19" s="1"/>
  <c r="Q267" i="13"/>
  <c r="S267" i="13" s="1"/>
  <c r="X267" i="13" s="1"/>
  <c r="X33" i="13"/>
  <c r="Q33" i="13"/>
  <c r="S33" i="13" s="1"/>
  <c r="K246" i="13"/>
  <c r="P246" i="13" s="1"/>
  <c r="R246" i="13" s="1"/>
  <c r="S142" i="13"/>
  <c r="X142" i="13" s="1"/>
  <c r="AV90" i="16"/>
  <c r="Z160" i="13"/>
  <c r="K44" i="13"/>
  <c r="AC227" i="13"/>
  <c r="AE227" i="13" s="1"/>
  <c r="AH228" i="7"/>
  <c r="AJ228" i="7" s="1"/>
  <c r="X278" i="13"/>
  <c r="Q278" i="13"/>
  <c r="S278" i="13" s="1"/>
  <c r="C26" i="18"/>
  <c r="I26" i="18" s="1"/>
  <c r="K26" i="18" s="1"/>
  <c r="E8" i="18" s="1"/>
  <c r="Q8" i="19" s="1"/>
  <c r="AV8" i="16"/>
  <c r="AH146" i="13"/>
  <c r="K10" i="13"/>
  <c r="P10" i="13" s="1"/>
  <c r="AC155" i="13"/>
  <c r="AE155" i="13" s="1"/>
  <c r="AH156" i="7"/>
  <c r="AJ156" i="7" s="1"/>
  <c r="X55" i="13"/>
  <c r="Z55" i="13" s="1"/>
  <c r="Q55" i="13"/>
  <c r="S55" i="13" s="1"/>
  <c r="AC265" i="13"/>
  <c r="AE265" i="13" s="1"/>
  <c r="AH266" i="7"/>
  <c r="AJ266" i="7" s="1"/>
  <c r="X168" i="13"/>
  <c r="Z168" i="13" s="1"/>
  <c r="Q168" i="13"/>
  <c r="S168" i="13" s="1"/>
  <c r="AF288" i="13"/>
  <c r="Y288" i="13"/>
  <c r="AA288" i="13" s="1"/>
  <c r="K70" i="13"/>
  <c r="P70" i="13" s="1"/>
  <c r="R70" i="13" s="1"/>
  <c r="AH178" i="13"/>
  <c r="AC49" i="13"/>
  <c r="AE49" i="13" s="1"/>
  <c r="AH50" i="7"/>
  <c r="AJ50" i="7" s="1"/>
  <c r="U11" i="13"/>
  <c r="W11" i="13" s="1"/>
  <c r="Z11" i="13" s="1"/>
  <c r="Z12" i="7"/>
  <c r="AB12" i="7" s="1"/>
  <c r="Q95" i="13"/>
  <c r="S95" i="13" s="1"/>
  <c r="X95" i="13"/>
  <c r="Z95" i="13" s="1"/>
  <c r="AT5" i="16"/>
  <c r="AO5" i="16"/>
  <c r="X31" i="9"/>
  <c r="AA31" i="9" s="1"/>
  <c r="S57" i="13"/>
  <c r="X57" i="13" s="1"/>
  <c r="Z258" i="13"/>
  <c r="S160" i="13"/>
  <c r="X160" i="13" s="1"/>
  <c r="Y45" i="7"/>
  <c r="S62" i="7"/>
  <c r="AC59" i="13"/>
  <c r="AE59" i="13" s="1"/>
  <c r="AH60" i="7"/>
  <c r="AJ60" i="7" s="1"/>
  <c r="S138" i="7"/>
  <c r="Y121" i="7"/>
  <c r="AF58" i="9"/>
  <c r="P17" i="9" s="1"/>
  <c r="D93" i="19" s="1"/>
  <c r="V93" i="19" s="1"/>
  <c r="AD58" i="9"/>
  <c r="AG58" i="9" s="1"/>
  <c r="AC26" i="13"/>
  <c r="AE26" i="13" s="1"/>
  <c r="AH27" i="7"/>
  <c r="AJ27" i="7" s="1"/>
  <c r="Q152" i="13"/>
  <c r="U121" i="13"/>
  <c r="W121" i="13" s="1"/>
  <c r="Z122" i="7"/>
  <c r="AB122" i="7" s="1"/>
  <c r="Z62" i="9"/>
  <c r="R38" i="13"/>
  <c r="R140" i="13"/>
  <c r="AK154" i="13"/>
  <c r="AM154" i="13" s="1"/>
  <c r="AP155" i="7"/>
  <c r="AR155" i="7" s="1"/>
  <c r="U22" i="13"/>
  <c r="W22" i="13" s="1"/>
  <c r="Z23" i="7"/>
  <c r="AB23" i="7" s="1"/>
  <c r="AK282" i="13"/>
  <c r="AM282" i="13" s="1"/>
  <c r="AP283" i="7"/>
  <c r="AR283" i="7" s="1"/>
  <c r="Z35" i="13"/>
  <c r="U67" i="13"/>
  <c r="W67" i="13" s="1"/>
  <c r="Z68" i="7"/>
  <c r="AB68" i="7" s="1"/>
  <c r="BS58" i="8"/>
  <c r="BU58" i="8" s="1"/>
  <c r="BW58" i="8" s="1"/>
  <c r="Z280" i="13"/>
  <c r="S52" i="13"/>
  <c r="X52" i="13" s="1"/>
  <c r="R76" i="13"/>
  <c r="AC256" i="13"/>
  <c r="AE256" i="13" s="1"/>
  <c r="AH257" i="7"/>
  <c r="AJ257" i="7" s="1"/>
  <c r="AC211" i="13"/>
  <c r="AE211" i="13" s="1"/>
  <c r="AH212" i="7"/>
  <c r="AJ212" i="7" s="1"/>
  <c r="AC193" i="13"/>
  <c r="AE193" i="13" s="1"/>
  <c r="AH194" i="7"/>
  <c r="AJ194" i="7" s="1"/>
  <c r="BF55" i="8"/>
  <c r="BP55" i="8" s="1"/>
  <c r="H54" i="22"/>
  <c r="V19" i="23" s="1"/>
  <c r="W19" i="23" s="1"/>
  <c r="X19" i="23" s="1"/>
  <c r="X20" i="23" s="1"/>
  <c r="AK283" i="13"/>
  <c r="AM283" i="13" s="1"/>
  <c r="AP284" i="7"/>
  <c r="AR284" i="7" s="1"/>
  <c r="C29" i="15"/>
  <c r="E29" i="15" s="1"/>
  <c r="F29" i="15" s="1"/>
  <c r="G29" i="15" s="1"/>
  <c r="H29" i="15" s="1"/>
  <c r="N29" i="15" s="1"/>
  <c r="T9" i="14"/>
  <c r="Y9" i="14" s="1"/>
  <c r="K215" i="13"/>
  <c r="Z47" i="13"/>
  <c r="Z52" i="9"/>
  <c r="M11" i="9" s="1"/>
  <c r="D68" i="19" s="1"/>
  <c r="V68" i="19" s="1"/>
  <c r="AE68" i="19" s="1"/>
  <c r="H95" i="18"/>
  <c r="D109" i="18"/>
  <c r="S91" i="13"/>
  <c r="X91" i="13" s="1"/>
  <c r="J63" i="13"/>
  <c r="J80" i="13" s="1"/>
  <c r="G80" i="13"/>
  <c r="I63" i="13"/>
  <c r="S264" i="13"/>
  <c r="X264" i="13" s="1"/>
  <c r="R32" i="9"/>
  <c r="U32" i="9" s="1"/>
  <c r="AC50" i="19"/>
  <c r="AV48" i="16"/>
  <c r="C66" i="18" s="1"/>
  <c r="Z217" i="13"/>
  <c r="Q192" i="13"/>
  <c r="S192" i="13" s="1"/>
  <c r="X192" i="13"/>
  <c r="AC94" i="13"/>
  <c r="AE94" i="13" s="1"/>
  <c r="AH95" i="7"/>
  <c r="AJ95" i="7" s="1"/>
  <c r="AC53" i="13"/>
  <c r="AE53" i="13" s="1"/>
  <c r="AH54" i="7"/>
  <c r="AJ54" i="7" s="1"/>
  <c r="AC39" i="13"/>
  <c r="AE39" i="13" s="1"/>
  <c r="AH40" i="7"/>
  <c r="AJ40" i="7" s="1"/>
  <c r="Q217" i="13"/>
  <c r="S217" i="13" s="1"/>
  <c r="X217" i="13"/>
  <c r="BS56" i="8"/>
  <c r="BU56" i="8"/>
  <c r="Z224" i="13"/>
  <c r="K213" i="13"/>
  <c r="F34" i="12" s="1"/>
  <c r="P196" i="13"/>
  <c r="AC208" i="13"/>
  <c r="AE208" i="13" s="1"/>
  <c r="AH209" i="7"/>
  <c r="AJ209" i="7" s="1"/>
  <c r="Q226" i="13"/>
  <c r="S226" i="13" s="1"/>
  <c r="X226" i="13" s="1"/>
  <c r="R12" i="13"/>
  <c r="Z148" i="13"/>
  <c r="O215" i="13"/>
  <c r="M232" i="13"/>
  <c r="R43" i="7"/>
  <c r="T26" i="7"/>
  <c r="R166" i="13"/>
  <c r="K127" i="13"/>
  <c r="P127" i="13" s="1"/>
  <c r="Q26" i="15"/>
  <c r="M63" i="14"/>
  <c r="Q63" i="14" s="1"/>
  <c r="Z27" i="13"/>
  <c r="X86" i="13"/>
  <c r="Z86" i="13" s="1"/>
  <c r="Q86" i="13"/>
  <c r="S86" i="13" s="1"/>
  <c r="K249" i="13"/>
  <c r="P249" i="13" s="1"/>
  <c r="Y252" i="7"/>
  <c r="AA235" i="7"/>
  <c r="AC180" i="13"/>
  <c r="AE180" i="13" s="1"/>
  <c r="AH181" i="7"/>
  <c r="AJ181" i="7" s="1"/>
  <c r="Y187" i="13"/>
  <c r="AA187" i="13" s="1"/>
  <c r="AF187" i="13" s="1"/>
  <c r="Z171" i="13"/>
  <c r="Z92" i="13"/>
  <c r="AC260" i="13"/>
  <c r="AE260" i="13" s="1"/>
  <c r="AH261" i="7"/>
  <c r="AJ261" i="7" s="1"/>
  <c r="Q203" i="13"/>
  <c r="S203" i="13" s="1"/>
  <c r="X203" i="13" s="1"/>
  <c r="K66" i="13"/>
  <c r="P66" i="13" s="1"/>
  <c r="R66" i="13" s="1"/>
  <c r="AK288" i="13"/>
  <c r="AM288" i="13" s="1"/>
  <c r="AP289" i="7"/>
  <c r="AR289" i="7" s="1"/>
  <c r="S210" i="13"/>
  <c r="X210" i="13" s="1"/>
  <c r="H77" i="18"/>
  <c r="Z184" i="13"/>
  <c r="X209" i="13"/>
  <c r="Z209" i="13" s="1"/>
  <c r="Q209" i="13"/>
  <c r="S209" i="13" s="1"/>
  <c r="K241" i="13"/>
  <c r="P241" i="13" s="1"/>
  <c r="C117" i="18"/>
  <c r="AV99" i="16"/>
  <c r="Q60" i="13"/>
  <c r="S60" i="13" s="1"/>
  <c r="X60" i="13"/>
  <c r="M63" i="13"/>
  <c r="R64" i="7"/>
  <c r="L81" i="7"/>
  <c r="A44" i="18" s="1"/>
  <c r="F44" i="18" s="1"/>
  <c r="AC229" i="13"/>
  <c r="AE229" i="13" s="1"/>
  <c r="AH230" i="7"/>
  <c r="AJ230" i="7" s="1"/>
  <c r="X193" i="13"/>
  <c r="Q193" i="13"/>
  <c r="S193" i="13" s="1"/>
  <c r="U16" i="8"/>
  <c r="S19" i="8"/>
  <c r="N36" i="9"/>
  <c r="H17" i="9" s="1"/>
  <c r="E36" i="19" s="1"/>
  <c r="U124" i="13"/>
  <c r="W124" i="13" s="1"/>
  <c r="Z125" i="7"/>
  <c r="AB125" i="7" s="1"/>
  <c r="AC199" i="13"/>
  <c r="AE199" i="13" s="1"/>
  <c r="AH200" i="7"/>
  <c r="AJ200" i="7" s="1"/>
  <c r="Q28" i="13"/>
  <c r="S28" i="13" s="1"/>
  <c r="X28" i="13"/>
  <c r="K71" i="13"/>
  <c r="P71" i="13" s="1"/>
  <c r="R152" i="13"/>
  <c r="K133" i="13"/>
  <c r="P133" i="13" s="1"/>
  <c r="R46" i="9"/>
  <c r="T46" i="9" s="1"/>
  <c r="O63" i="9"/>
  <c r="D113" i="18"/>
  <c r="AU108" i="16"/>
  <c r="K242" i="13"/>
  <c r="P242" i="13" s="1"/>
  <c r="AK225" i="13"/>
  <c r="AM225" i="13" s="1"/>
  <c r="AP226" i="7"/>
  <c r="AR226" i="7" s="1"/>
  <c r="X189" i="13"/>
  <c r="Q189" i="13"/>
  <c r="S189" i="13" s="1"/>
  <c r="AK97" i="13"/>
  <c r="AM97" i="13" s="1"/>
  <c r="AP98" i="7"/>
  <c r="AR98" i="7" s="1"/>
  <c r="X265" i="13"/>
  <c r="Q265" i="13"/>
  <c r="S265" i="13" s="1"/>
  <c r="Z60" i="9"/>
  <c r="M18" i="9" s="1"/>
  <c r="D75" i="19" s="1"/>
  <c r="U71" i="13"/>
  <c r="W71" i="13" s="1"/>
  <c r="Z72" i="7"/>
  <c r="AB72" i="7" s="1"/>
  <c r="AC152" i="13"/>
  <c r="AE152" i="13" s="1"/>
  <c r="AH153" i="7"/>
  <c r="AJ153" i="7" s="1"/>
  <c r="R242" i="13"/>
  <c r="K245" i="13"/>
  <c r="P245" i="13" s="1"/>
  <c r="U136" i="13"/>
  <c r="W136" i="13" s="1"/>
  <c r="Z137" i="7"/>
  <c r="AB137" i="7" s="1"/>
  <c r="U65" i="13"/>
  <c r="W65" i="13" s="1"/>
  <c r="Z66" i="7"/>
  <c r="AB66" i="7" s="1"/>
  <c r="D24" i="19"/>
  <c r="G19" i="9"/>
  <c r="H35" i="9"/>
  <c r="E16" i="9" s="1"/>
  <c r="E16" i="19" s="1"/>
  <c r="AQ19" i="16"/>
  <c r="G33" i="22"/>
  <c r="H33" i="22" s="1"/>
  <c r="AR33" i="16"/>
  <c r="AC34" i="19" s="1"/>
  <c r="AA183" i="13"/>
  <c r="AF183" i="13" s="1"/>
  <c r="AA93" i="13"/>
  <c r="AF93" i="13" s="1"/>
  <c r="AH93" i="13" s="1"/>
  <c r="G17" i="22"/>
  <c r="H17" i="22" s="1"/>
  <c r="AR17" i="16"/>
  <c r="AC17" i="19" s="1"/>
  <c r="AC162" i="13"/>
  <c r="AE162" i="13" s="1"/>
  <c r="AH163" i="7"/>
  <c r="AJ163" i="7" s="1"/>
  <c r="L292" i="7"/>
  <c r="J309" i="7"/>
  <c r="AC147" i="13"/>
  <c r="AE147" i="13" s="1"/>
  <c r="AH148" i="7"/>
  <c r="AJ148" i="7" s="1"/>
  <c r="U130" i="13"/>
  <c r="W130" i="13" s="1"/>
  <c r="Z131" i="7"/>
  <c r="AB131" i="7" s="1"/>
  <c r="U123" i="13"/>
  <c r="W123" i="13" s="1"/>
  <c r="Z124" i="7"/>
  <c r="AB124" i="7" s="1"/>
  <c r="K9" i="13"/>
  <c r="P9" i="13" s="1"/>
  <c r="R9" i="13" s="1"/>
  <c r="Q22" i="13"/>
  <c r="Z153" i="13"/>
  <c r="R122" i="13"/>
  <c r="AC45" i="19"/>
  <c r="AV43" i="16"/>
  <c r="C61" i="18" s="1"/>
  <c r="U78" i="13"/>
  <c r="W78" i="13" s="1"/>
  <c r="Z78" i="13" s="1"/>
  <c r="Z79" i="7"/>
  <c r="AB79" i="7" s="1"/>
  <c r="T37" i="9"/>
  <c r="K18" i="9" s="1"/>
  <c r="E56" i="19" s="1"/>
  <c r="K69" i="13"/>
  <c r="P69" i="13" s="1"/>
  <c r="G17" i="3"/>
  <c r="G34" i="3" s="1"/>
  <c r="G20" i="3" s="1"/>
  <c r="H15" i="3"/>
  <c r="H16" i="3" s="1"/>
  <c r="U239" i="13"/>
  <c r="W239" i="13" s="1"/>
  <c r="Z240" i="7"/>
  <c r="AB240" i="7" s="1"/>
  <c r="U131" i="13"/>
  <c r="W131" i="13" s="1"/>
  <c r="Z132" i="7"/>
  <c r="AB132" i="7" s="1"/>
  <c r="G12" i="22"/>
  <c r="H12" i="22" s="1"/>
  <c r="AR12" i="16"/>
  <c r="AC12" i="19" s="1"/>
  <c r="U243" i="13"/>
  <c r="W243" i="13" s="1"/>
  <c r="Z244" i="7"/>
  <c r="AB244" i="7" s="1"/>
  <c r="K240" i="13"/>
  <c r="P240" i="13" s="1"/>
  <c r="R240" i="13" s="1"/>
  <c r="BS54" i="8"/>
  <c r="BU54" i="8"/>
  <c r="Y47" i="13"/>
  <c r="AA47" i="13" s="1"/>
  <c r="AF47" i="13" s="1"/>
  <c r="AC268" i="13"/>
  <c r="AE268" i="13" s="1"/>
  <c r="AH269" i="7"/>
  <c r="AJ269" i="7" s="1"/>
  <c r="K20" i="13"/>
  <c r="P20" i="13" s="1"/>
  <c r="V56" i="19"/>
  <c r="AE56" i="19" s="1"/>
  <c r="I52" i="18"/>
  <c r="K52" i="18" s="1"/>
  <c r="H16" i="18" s="1"/>
  <c r="Q35" i="19" s="1"/>
  <c r="AC55" i="19"/>
  <c r="AV53" i="16"/>
  <c r="C71" i="18" s="1"/>
  <c r="U21" i="13"/>
  <c r="W21" i="13" s="1"/>
  <c r="Z22" i="7"/>
  <c r="AB22" i="7" s="1"/>
  <c r="AC50" i="13"/>
  <c r="AE50" i="13" s="1"/>
  <c r="AH51" i="7"/>
  <c r="AJ51" i="7" s="1"/>
  <c r="AC173" i="13"/>
  <c r="AE173" i="13" s="1"/>
  <c r="AH174" i="7"/>
  <c r="AJ174" i="7" s="1"/>
  <c r="AC149" i="13"/>
  <c r="AE149" i="13" s="1"/>
  <c r="AH150" i="7"/>
  <c r="AJ150" i="7" s="1"/>
  <c r="AK221" i="13"/>
  <c r="AM221" i="13" s="1"/>
  <c r="AP222" i="7"/>
  <c r="AR222" i="7" s="1"/>
  <c r="G6" i="22"/>
  <c r="H6" i="22" s="1"/>
  <c r="AR6" i="16"/>
  <c r="AC6" i="19" s="1"/>
  <c r="Z169" i="13"/>
  <c r="Q88" i="13"/>
  <c r="X143" i="13"/>
  <c r="Q143" i="13"/>
  <c r="S143" i="13" s="1"/>
  <c r="Z161" i="13"/>
  <c r="T83" i="7"/>
  <c r="R100" i="7"/>
  <c r="Q174" i="13"/>
  <c r="AF287" i="13"/>
  <c r="Y287" i="13"/>
  <c r="AA287" i="13" s="1"/>
  <c r="AC235" i="13"/>
  <c r="AE235" i="13" s="1"/>
  <c r="AH236" i="7"/>
  <c r="AJ236" i="7" s="1"/>
  <c r="Q149" i="13"/>
  <c r="S149" i="13" s="1"/>
  <c r="X149" i="13" s="1"/>
  <c r="X34" i="9"/>
  <c r="AA34" i="9" s="1"/>
  <c r="J23" i="13"/>
  <c r="K73" i="13"/>
  <c r="P73" i="13" s="1"/>
  <c r="AC281" i="13"/>
  <c r="AE281" i="13" s="1"/>
  <c r="AH282" i="7"/>
  <c r="AJ282" i="7" s="1"/>
  <c r="R62" i="7"/>
  <c r="T45" i="7"/>
  <c r="Z141" i="13"/>
  <c r="AH216" i="13"/>
  <c r="G14" i="22"/>
  <c r="H14" i="22" s="1"/>
  <c r="AR14" i="16"/>
  <c r="AC14" i="19" s="1"/>
  <c r="Q186" i="13"/>
  <c r="Q254" i="13"/>
  <c r="S254" i="13" s="1"/>
  <c r="X254" i="13" s="1"/>
  <c r="AC168" i="13"/>
  <c r="AE168" i="13" s="1"/>
  <c r="AH169" i="7"/>
  <c r="AJ169" i="7" s="1"/>
  <c r="AC48" i="13"/>
  <c r="AE48" i="13" s="1"/>
  <c r="AH48" i="13" s="1"/>
  <c r="AH49" i="7"/>
  <c r="AJ49" i="7" s="1"/>
  <c r="Y233" i="7"/>
  <c r="AA216" i="7"/>
  <c r="T273" i="7"/>
  <c r="R290" i="7"/>
  <c r="F29" i="3"/>
  <c r="G27" i="3"/>
  <c r="R87" i="13"/>
  <c r="K129" i="13"/>
  <c r="P129" i="13" s="1"/>
  <c r="R129" i="13" s="1"/>
  <c r="Q273" i="13"/>
  <c r="S273" i="13" s="1"/>
  <c r="X273" i="13" s="1"/>
  <c r="C114" i="18"/>
  <c r="AV96" i="16"/>
  <c r="K17" i="13"/>
  <c r="P17" i="13" s="1"/>
  <c r="AC230" i="13"/>
  <c r="AE230" i="13" s="1"/>
  <c r="AH231" i="7"/>
  <c r="AJ231" i="7" s="1"/>
  <c r="T178" i="7"/>
  <c r="R195" i="7"/>
  <c r="U19" i="13"/>
  <c r="W19" i="13" s="1"/>
  <c r="Z20" i="7"/>
  <c r="AB20" i="7" s="1"/>
  <c r="X144" i="13"/>
  <c r="Z144" i="13" s="1"/>
  <c r="Q144" i="13"/>
  <c r="S144" i="13" s="1"/>
  <c r="AC263" i="13"/>
  <c r="AE263" i="13" s="1"/>
  <c r="AH264" i="7"/>
  <c r="AJ264" i="7" s="1"/>
  <c r="Z265" i="13"/>
  <c r="C125" i="18"/>
  <c r="AV107" i="16"/>
  <c r="AC54" i="19"/>
  <c r="AV52" i="16"/>
  <c r="C70" i="18" s="1"/>
  <c r="AC41" i="13"/>
  <c r="AE41" i="13" s="1"/>
  <c r="AH42" i="7"/>
  <c r="AJ42" i="7" s="1"/>
  <c r="Q37" i="13"/>
  <c r="S37" i="13" s="1"/>
  <c r="X37" i="13" s="1"/>
  <c r="R88" i="13"/>
  <c r="K135" i="13"/>
  <c r="P135" i="13" s="1"/>
  <c r="R135" i="13" s="1"/>
  <c r="Q281" i="13"/>
  <c r="S281" i="13" s="1"/>
  <c r="X281" i="13"/>
  <c r="Z281" i="13" s="1"/>
  <c r="T197" i="7"/>
  <c r="R214" i="7"/>
  <c r="Q51" i="13"/>
  <c r="S51" i="13" s="1"/>
  <c r="X51" i="13" s="1"/>
  <c r="Q227" i="13"/>
  <c r="S227" i="13" s="1"/>
  <c r="X227" i="13" s="1"/>
  <c r="Q164" i="13"/>
  <c r="S164" i="13" s="1"/>
  <c r="X164" i="13" s="1"/>
  <c r="AU60" i="8"/>
  <c r="AW60" i="8" s="1"/>
  <c r="AC46" i="13"/>
  <c r="AE46" i="13" s="1"/>
  <c r="AH47" i="7"/>
  <c r="AJ47" i="7" s="1"/>
  <c r="AC200" i="13"/>
  <c r="AE200" i="13" s="1"/>
  <c r="AH201" i="7"/>
  <c r="AJ201" i="7" s="1"/>
  <c r="AC185" i="13"/>
  <c r="AE185" i="13" s="1"/>
  <c r="AH186" i="7"/>
  <c r="AJ186" i="7" s="1"/>
  <c r="U135" i="13"/>
  <c r="W135" i="13" s="1"/>
  <c r="Z136" i="7"/>
  <c r="AB136" i="7" s="1"/>
  <c r="C116" i="18"/>
  <c r="AV98" i="16"/>
  <c r="Q134" i="13"/>
  <c r="S134" i="13" s="1"/>
  <c r="X134" i="13"/>
  <c r="R54" i="13"/>
  <c r="AP57" i="8"/>
  <c r="AG61" i="8"/>
  <c r="Z59" i="13"/>
  <c r="R186" i="13"/>
  <c r="AC254" i="13"/>
  <c r="AE254" i="13" s="1"/>
  <c r="AH255" i="7"/>
  <c r="AJ255" i="7" s="1"/>
  <c r="V74" i="19"/>
  <c r="AE74" i="19" s="1"/>
  <c r="Z26" i="13"/>
  <c r="K15" i="13"/>
  <c r="P15" i="13" s="1"/>
  <c r="R15" i="13" s="1"/>
  <c r="Q223" i="13"/>
  <c r="R121" i="13"/>
  <c r="U9" i="13"/>
  <c r="W9" i="13" s="1"/>
  <c r="Z10" i="7"/>
  <c r="AB10" i="7" s="1"/>
  <c r="R208" i="13"/>
  <c r="Y290" i="7"/>
  <c r="AA273" i="7"/>
  <c r="R22" i="13"/>
  <c r="AC33" i="13"/>
  <c r="AE33" i="13" s="1"/>
  <c r="AH34" i="7"/>
  <c r="AJ34" i="7" s="1"/>
  <c r="AC56" i="13"/>
  <c r="AE56" i="13" s="1"/>
  <c r="AH57" i="7"/>
  <c r="AJ57" i="7" s="1"/>
  <c r="R67" i="13"/>
  <c r="S269" i="13"/>
  <c r="X269" i="13" s="1"/>
  <c r="Z269" i="13" s="1"/>
  <c r="AK142" i="13"/>
  <c r="AM142" i="13" s="1"/>
  <c r="AP143" i="7"/>
  <c r="AR143" i="7" s="1"/>
  <c r="AC203" i="13"/>
  <c r="AE203" i="13" s="1"/>
  <c r="AH204" i="7"/>
  <c r="AJ204" i="7" s="1"/>
  <c r="AC204" i="13"/>
  <c r="AE204" i="13" s="1"/>
  <c r="AH205" i="7"/>
  <c r="AJ205" i="7" s="1"/>
  <c r="U125" i="13"/>
  <c r="W125" i="13" s="1"/>
  <c r="Z126" i="7"/>
  <c r="AB126" i="7" s="1"/>
  <c r="S170" i="13"/>
  <c r="X170" i="13" s="1"/>
  <c r="Z256" i="13"/>
  <c r="Y286" i="13"/>
  <c r="AA286" i="13" s="1"/>
  <c r="AF286" i="13" s="1"/>
  <c r="AC60" i="13"/>
  <c r="AE60" i="13" s="1"/>
  <c r="AH61" i="7"/>
  <c r="AJ61" i="7" s="1"/>
  <c r="J234" i="13"/>
  <c r="J251" i="13" s="1"/>
  <c r="G251" i="13"/>
  <c r="I234" i="13"/>
  <c r="Z193" i="13"/>
  <c r="T29" i="9"/>
  <c r="K10" i="9" s="1"/>
  <c r="E48" i="19" s="1"/>
  <c r="E9" i="15"/>
  <c r="D10" i="15"/>
  <c r="E10" i="15" s="1"/>
  <c r="R37" i="13"/>
  <c r="S90" i="13"/>
  <c r="X90" i="13" s="1"/>
  <c r="AC57" i="13"/>
  <c r="AE57" i="13" s="1"/>
  <c r="AH58" i="7"/>
  <c r="AJ58" i="7" s="1"/>
  <c r="U64" i="13"/>
  <c r="W64" i="13" s="1"/>
  <c r="Z65" i="7"/>
  <c r="AB65" i="7" s="1"/>
  <c r="S261" i="13"/>
  <c r="X261" i="13" s="1"/>
  <c r="S45" i="13"/>
  <c r="X45" i="13" s="1"/>
  <c r="S211" i="13"/>
  <c r="X211" i="13" s="1"/>
  <c r="Z211" i="13" s="1"/>
  <c r="S275" i="13"/>
  <c r="X275" i="13" s="1"/>
  <c r="Z275" i="13" s="1"/>
  <c r="S260" i="13"/>
  <c r="X260" i="13" s="1"/>
  <c r="AK150" i="13"/>
  <c r="AM150" i="13" s="1"/>
  <c r="AP151" i="7"/>
  <c r="AR151" i="7" s="1"/>
  <c r="BH48" i="8"/>
  <c r="I43" i="18"/>
  <c r="K43" i="18" s="1"/>
  <c r="H7" i="18" s="1"/>
  <c r="Q26" i="19" s="1"/>
  <c r="AC186" i="13"/>
  <c r="AE186" i="13" s="1"/>
  <c r="AH187" i="7"/>
  <c r="AJ187" i="7" s="1"/>
  <c r="Z94" i="13"/>
  <c r="Z53" i="13"/>
  <c r="AK287" i="13"/>
  <c r="AM287" i="13" s="1"/>
  <c r="AP288" i="7"/>
  <c r="AR288" i="7" s="1"/>
  <c r="X29" i="13"/>
  <c r="Z29" i="13" s="1"/>
  <c r="Q29" i="13"/>
  <c r="S29" i="13" s="1"/>
  <c r="Z39" i="13"/>
  <c r="AK85" i="13"/>
  <c r="AM85" i="13" s="1"/>
  <c r="AP86" i="7"/>
  <c r="AR86" i="7" s="1"/>
  <c r="Q277" i="13"/>
  <c r="S277" i="13" s="1"/>
  <c r="X277" i="13"/>
  <c r="AC165" i="13"/>
  <c r="AE165" i="13" s="1"/>
  <c r="AH166" i="7"/>
  <c r="AJ166" i="7" s="1"/>
  <c r="AC86" i="13"/>
  <c r="AE86" i="13" s="1"/>
  <c r="AH87" i="7"/>
  <c r="AJ87" i="7" s="1"/>
  <c r="C123" i="18"/>
  <c r="AV105" i="16"/>
  <c r="Q49" i="13"/>
  <c r="S49" i="13" s="1"/>
  <c r="X49" i="13" s="1"/>
  <c r="AF54" i="9"/>
  <c r="P13" i="9" s="1"/>
  <c r="D89" i="19" s="1"/>
  <c r="V89" i="19" s="1"/>
  <c r="AD54" i="9"/>
  <c r="AG54" i="9" s="1"/>
  <c r="AC75" i="13"/>
  <c r="AE75" i="13" s="1"/>
  <c r="AH76" i="7"/>
  <c r="AJ76" i="7" s="1"/>
  <c r="Q266" i="13"/>
  <c r="S266" i="13" s="1"/>
  <c r="X266" i="13" s="1"/>
  <c r="AC262" i="13"/>
  <c r="AE262" i="13" s="1"/>
  <c r="AH263" i="7"/>
  <c r="AJ263" i="7" s="1"/>
  <c r="Q181" i="13"/>
  <c r="S181" i="13" s="1"/>
  <c r="X181" i="13" s="1"/>
  <c r="AC209" i="13"/>
  <c r="AE209" i="13" s="1"/>
  <c r="AH210" i="7"/>
  <c r="AJ210" i="7" s="1"/>
  <c r="AC91" i="13"/>
  <c r="AE91" i="13" s="1"/>
  <c r="AH92" i="7"/>
  <c r="AJ92" i="7" s="1"/>
  <c r="Y159" i="7"/>
  <c r="S176" i="7"/>
  <c r="AC274" i="13"/>
  <c r="AE274" i="13" s="1"/>
  <c r="AH275" i="7"/>
  <c r="AJ275" i="7" s="1"/>
  <c r="AC34" i="13"/>
  <c r="AE34" i="13" s="1"/>
  <c r="AH35" i="7"/>
  <c r="AJ35" i="7" s="1"/>
  <c r="Q179" i="13"/>
  <c r="S179" i="13" s="1"/>
  <c r="X179" i="13" s="1"/>
  <c r="M6" i="13"/>
  <c r="M23" i="13" s="1"/>
  <c r="R7" i="7"/>
  <c r="L24" i="7"/>
  <c r="A41" i="18" s="1"/>
  <c r="F41" i="18" s="1"/>
  <c r="F55" i="18" s="1"/>
  <c r="AC264" i="13"/>
  <c r="AE264" i="13" s="1"/>
  <c r="AH265" i="7"/>
  <c r="AJ265" i="7" s="1"/>
  <c r="Z180" i="13"/>
  <c r="AC32" i="13"/>
  <c r="AE32" i="13" s="1"/>
  <c r="AH33" i="7"/>
  <c r="AJ33" i="7" s="1"/>
  <c r="AC192" i="13"/>
  <c r="AE192" i="13" s="1"/>
  <c r="AH193" i="7"/>
  <c r="AJ193" i="7" s="1"/>
  <c r="AC83" i="13"/>
  <c r="AE83" i="13" s="1"/>
  <c r="AH84" i="7"/>
  <c r="AJ84" i="7" s="1"/>
  <c r="Z260" i="13"/>
  <c r="C120" i="18"/>
  <c r="AV102" i="16"/>
  <c r="K239" i="13"/>
  <c r="P239" i="13" s="1"/>
  <c r="K131" i="13"/>
  <c r="P131" i="13" s="1"/>
  <c r="R131" i="13" s="1"/>
  <c r="AH288" i="13"/>
  <c r="AC81" i="19"/>
  <c r="AC95" i="19" s="1"/>
  <c r="AR90" i="16"/>
  <c r="AC40" i="13"/>
  <c r="AE40" i="13" s="1"/>
  <c r="AH41" i="7"/>
  <c r="AJ41" i="7" s="1"/>
  <c r="AC163" i="13"/>
  <c r="AE163" i="13" s="1"/>
  <c r="AH164" i="7"/>
  <c r="AJ164" i="7" s="1"/>
  <c r="X58" i="13"/>
  <c r="Z58" i="13" s="1"/>
  <c r="Q58" i="13"/>
  <c r="S58" i="13" s="1"/>
  <c r="AC189" i="13"/>
  <c r="AE189" i="13" s="1"/>
  <c r="AH190" i="7"/>
  <c r="AJ190" i="7" s="1"/>
  <c r="AF50" i="9"/>
  <c r="P9" i="9" s="1"/>
  <c r="D85" i="19" s="1"/>
  <c r="AD50" i="9"/>
  <c r="AG50" i="9" s="1"/>
  <c r="K243" i="13"/>
  <c r="P243" i="13" s="1"/>
  <c r="Z229" i="13"/>
  <c r="X61" i="8"/>
  <c r="R36" i="9"/>
  <c r="U36" i="9" s="1"/>
  <c r="R124" i="13"/>
  <c r="Z199" i="13"/>
  <c r="R228" i="13"/>
  <c r="R223" i="13"/>
  <c r="C113" i="18"/>
  <c r="C127" i="18" s="1"/>
  <c r="AV95" i="16"/>
  <c r="AT108" i="16"/>
  <c r="AH225" i="13"/>
  <c r="AC255" i="13"/>
  <c r="AE255" i="13" s="1"/>
  <c r="AH256" i="7"/>
  <c r="AJ256" i="7" s="1"/>
  <c r="AK259" i="13"/>
  <c r="AM259" i="13" s="1"/>
  <c r="AP260" i="7"/>
  <c r="AR260" i="7" s="1"/>
  <c r="K136" i="13"/>
  <c r="P136" i="13" s="1"/>
  <c r="R174" i="13"/>
  <c r="AC279" i="13"/>
  <c r="AE279" i="13" s="1"/>
  <c r="AH280" i="7"/>
  <c r="AJ280" i="7" s="1"/>
  <c r="AK197" i="13"/>
  <c r="AM197" i="13" s="1"/>
  <c r="AP198" i="7"/>
  <c r="AR198" i="7" s="1"/>
  <c r="R71" i="13"/>
  <c r="AK285" i="13"/>
  <c r="AM285" i="13" s="1"/>
  <c r="AP286" i="7"/>
  <c r="AR286" i="7" s="1"/>
  <c r="R136" i="13"/>
  <c r="R65" i="13"/>
  <c r="S263" i="13"/>
  <c r="X263" i="13" s="1"/>
  <c r="Z263" i="13" s="1"/>
  <c r="S230" i="13"/>
  <c r="X230" i="13" s="1"/>
  <c r="AD56" i="9"/>
  <c r="AG56" i="9" s="1"/>
  <c r="S155" i="13"/>
  <c r="X155" i="13" s="1"/>
  <c r="Z155" i="13" s="1"/>
  <c r="G26" i="22"/>
  <c r="H26" i="22" s="1"/>
  <c r="H36" i="22" s="1"/>
  <c r="N19" i="23" s="1"/>
  <c r="O19" i="23" s="1"/>
  <c r="P19" i="23" s="1"/>
  <c r="P20" i="23" s="1"/>
  <c r="AR26" i="16"/>
  <c r="AC27" i="19" s="1"/>
  <c r="C51" i="18"/>
  <c r="I51" i="18" s="1"/>
  <c r="K51" i="18" s="1"/>
  <c r="H15" i="18" s="1"/>
  <c r="Q34" i="19" s="1"/>
  <c r="AV33" i="16"/>
  <c r="G35" i="22"/>
  <c r="H35" i="22" s="1"/>
  <c r="AR35" i="16"/>
  <c r="AC36" i="19" s="1"/>
  <c r="C35" i="18"/>
  <c r="I35" i="18" s="1"/>
  <c r="K35" i="18" s="1"/>
  <c r="E17" i="18" s="1"/>
  <c r="Q17" i="19" s="1"/>
  <c r="AV17" i="16"/>
  <c r="AA282" i="13"/>
  <c r="AF282" i="13" s="1"/>
  <c r="AH282" i="13" s="1"/>
  <c r="AA191" i="13"/>
  <c r="AF191" i="13" s="1"/>
  <c r="AA201" i="13" l="1"/>
  <c r="AF201" i="13" s="1"/>
  <c r="AH201" i="13" s="1"/>
  <c r="Y266" i="13"/>
  <c r="AA266" i="13" s="1"/>
  <c r="AF266" i="13" s="1"/>
  <c r="Z266" i="13"/>
  <c r="Y254" i="13"/>
  <c r="AA254" i="13" s="1"/>
  <c r="AF254" i="13" s="1"/>
  <c r="Z254" i="13"/>
  <c r="Y179" i="13"/>
  <c r="Z179" i="13"/>
  <c r="Y49" i="13"/>
  <c r="AA49" i="13" s="1"/>
  <c r="AF49" i="13" s="1"/>
  <c r="Z49" i="13"/>
  <c r="AG286" i="13"/>
  <c r="AI286" i="13" s="1"/>
  <c r="AN286" i="13" s="1"/>
  <c r="AH286" i="13"/>
  <c r="Y164" i="13"/>
  <c r="Z164" i="13"/>
  <c r="Y149" i="13"/>
  <c r="Z149" i="13"/>
  <c r="AG47" i="13"/>
  <c r="J5" i="9"/>
  <c r="T63" i="9"/>
  <c r="AG185" i="13"/>
  <c r="Y222" i="13"/>
  <c r="AA222" i="13" s="1"/>
  <c r="AF222" i="13" s="1"/>
  <c r="Z222" i="13"/>
  <c r="Y75" i="13"/>
  <c r="AA75" i="13" s="1"/>
  <c r="AF75" i="13"/>
  <c r="Z75" i="13"/>
  <c r="Y46" i="13"/>
  <c r="Z46" i="13"/>
  <c r="Y151" i="13"/>
  <c r="Z151" i="13"/>
  <c r="Y159" i="13"/>
  <c r="AA159" i="13" s="1"/>
  <c r="AF159" i="13" s="1"/>
  <c r="Z159" i="13"/>
  <c r="Y145" i="13"/>
  <c r="AA145" i="13" s="1"/>
  <c r="AF145" i="13" s="1"/>
  <c r="Z145" i="13"/>
  <c r="Y74" i="13"/>
  <c r="Y21" i="13"/>
  <c r="Y16" i="13"/>
  <c r="AN285" i="13"/>
  <c r="AG285" i="13"/>
  <c r="AI285" i="13" s="1"/>
  <c r="AH285" i="13"/>
  <c r="Y227" i="13"/>
  <c r="AA227" i="13" s="1"/>
  <c r="AF227" i="13" s="1"/>
  <c r="Z227" i="13"/>
  <c r="Y37" i="13"/>
  <c r="Z37" i="13"/>
  <c r="Y203" i="13"/>
  <c r="AA203" i="13" s="1"/>
  <c r="AF203" i="13" s="1"/>
  <c r="Z203" i="13"/>
  <c r="Y19" i="13"/>
  <c r="Y8" i="13"/>
  <c r="Y64" i="13"/>
  <c r="Y18" i="13"/>
  <c r="AG221" i="13"/>
  <c r="AH221" i="13"/>
  <c r="Y130" i="13"/>
  <c r="BS9" i="8"/>
  <c r="BU9" i="8" s="1"/>
  <c r="G104" i="19" s="1"/>
  <c r="BW48" i="8"/>
  <c r="AG154" i="13"/>
  <c r="AI154" i="13" s="1"/>
  <c r="AN154" i="13" s="1"/>
  <c r="AH154" i="13"/>
  <c r="Y51" i="13"/>
  <c r="AA51" i="13" s="1"/>
  <c r="AF51" i="13" s="1"/>
  <c r="Z51" i="13"/>
  <c r="Y273" i="13"/>
  <c r="AA273" i="13" s="1"/>
  <c r="AF273" i="13" s="1"/>
  <c r="Z273" i="13"/>
  <c r="Y226" i="13"/>
  <c r="Z226" i="13"/>
  <c r="Y267" i="13"/>
  <c r="Z267" i="13"/>
  <c r="AG147" i="13"/>
  <c r="BF5" i="8"/>
  <c r="BJ44" i="8"/>
  <c r="P35" i="8"/>
  <c r="I35" i="8"/>
  <c r="AG200" i="13"/>
  <c r="Y255" i="13"/>
  <c r="Z255" i="13"/>
  <c r="AG98" i="13"/>
  <c r="Y218" i="13"/>
  <c r="Z218" i="13"/>
  <c r="Y31" i="13"/>
  <c r="Z31" i="13"/>
  <c r="AL56" i="9"/>
  <c r="S15" i="9" s="1"/>
  <c r="D110" i="19" s="1"/>
  <c r="AJ56" i="9"/>
  <c r="AK279" i="13"/>
  <c r="AM279" i="13" s="1"/>
  <c r="AP280" i="7"/>
  <c r="AR280" i="7" s="1"/>
  <c r="AK264" i="13"/>
  <c r="AM264" i="13" s="1"/>
  <c r="AP265" i="7"/>
  <c r="AR265" i="7" s="1"/>
  <c r="Y176" i="7"/>
  <c r="AA159" i="7"/>
  <c r="Y45" i="13"/>
  <c r="AG191" i="13"/>
  <c r="AF56" i="9"/>
  <c r="P15" i="9" s="1"/>
  <c r="D91" i="19" s="1"/>
  <c r="AS259" i="13"/>
  <c r="AU259" i="13" s="1"/>
  <c r="AX260" i="7"/>
  <c r="T36" i="9"/>
  <c r="K17" i="9" s="1"/>
  <c r="E55" i="19" s="1"/>
  <c r="Q243" i="13"/>
  <c r="AK189" i="13"/>
  <c r="AM189" i="13" s="1"/>
  <c r="AP190" i="7"/>
  <c r="AR190" i="7" s="1"/>
  <c r="AK163" i="13"/>
  <c r="AM163" i="13" s="1"/>
  <c r="AP164" i="7"/>
  <c r="AR164" i="7" s="1"/>
  <c r="Q239" i="13"/>
  <c r="AK83" i="13"/>
  <c r="AM83" i="13" s="1"/>
  <c r="AP84" i="7"/>
  <c r="AR84" i="7" s="1"/>
  <c r="AK32" i="13"/>
  <c r="AM32" i="13" s="1"/>
  <c r="AP33" i="7"/>
  <c r="AR33" i="7" s="1"/>
  <c r="AK274" i="13"/>
  <c r="AM274" i="13" s="1"/>
  <c r="AP275" i="7"/>
  <c r="AR275" i="7" s="1"/>
  <c r="AK91" i="13"/>
  <c r="AM91" i="13" s="1"/>
  <c r="AP92" i="7"/>
  <c r="AR92" i="7" s="1"/>
  <c r="AL54" i="9"/>
  <c r="S13" i="9" s="1"/>
  <c r="D108" i="19" s="1"/>
  <c r="V108" i="19" s="1"/>
  <c r="AJ54" i="9"/>
  <c r="Y260" i="13"/>
  <c r="AA260" i="13" s="1"/>
  <c r="AF260" i="13" s="1"/>
  <c r="Y261" i="13"/>
  <c r="C30" i="15"/>
  <c r="E30" i="15" s="1"/>
  <c r="F30" i="15" s="1"/>
  <c r="G30" i="15" s="1"/>
  <c r="H30" i="15" s="1"/>
  <c r="N30" i="15" s="1"/>
  <c r="T10" i="14"/>
  <c r="Y10" i="14" s="1"/>
  <c r="AK60" i="13"/>
  <c r="AM60" i="13" s="1"/>
  <c r="AP61" i="7"/>
  <c r="AR61" i="7" s="1"/>
  <c r="AK204" i="13"/>
  <c r="AM204" i="13" s="1"/>
  <c r="AP205" i="7"/>
  <c r="AR205" i="7" s="1"/>
  <c r="AS142" i="13"/>
  <c r="AU142" i="13" s="1"/>
  <c r="AX143" i="7"/>
  <c r="AK56" i="13"/>
  <c r="AM56" i="13" s="1"/>
  <c r="AP57" i="7"/>
  <c r="AR57" i="7" s="1"/>
  <c r="AH185" i="13"/>
  <c r="AK263" i="13"/>
  <c r="AM263" i="13" s="1"/>
  <c r="AP264" i="7"/>
  <c r="AR264" i="7" s="1"/>
  <c r="U177" i="13"/>
  <c r="Z178" i="7"/>
  <c r="T195" i="7"/>
  <c r="A67" i="18" s="1"/>
  <c r="F67" i="18" s="1"/>
  <c r="I67" i="18" s="1"/>
  <c r="K67" i="18" s="1"/>
  <c r="K13" i="18" s="1"/>
  <c r="Q51" i="19" s="1"/>
  <c r="Q17" i="13"/>
  <c r="G29" i="3"/>
  <c r="H27" i="3"/>
  <c r="AG216" i="7"/>
  <c r="AA233" i="7"/>
  <c r="AK168" i="13"/>
  <c r="AM168" i="13" s="1"/>
  <c r="AP169" i="7"/>
  <c r="AR169" i="7" s="1"/>
  <c r="S186" i="13"/>
  <c r="X186" i="13" s="1"/>
  <c r="U44" i="13"/>
  <c r="T62" i="7"/>
  <c r="A61" i="18" s="1"/>
  <c r="F61" i="18" s="1"/>
  <c r="Z45" i="7"/>
  <c r="Q73" i="13"/>
  <c r="S88" i="13"/>
  <c r="X88" i="13" s="1"/>
  <c r="AK268" i="13"/>
  <c r="AM268" i="13" s="1"/>
  <c r="AP269" i="7"/>
  <c r="AR269" i="7" s="1"/>
  <c r="AC243" i="13"/>
  <c r="AE243" i="13" s="1"/>
  <c r="AH244" i="7"/>
  <c r="AJ244" i="7" s="1"/>
  <c r="Q69" i="13"/>
  <c r="AC123" i="13"/>
  <c r="AE123" i="13" s="1"/>
  <c r="AH124" i="7"/>
  <c r="AJ124" i="7" s="1"/>
  <c r="AK147" i="13"/>
  <c r="AM147" i="13" s="1"/>
  <c r="AP148" i="7"/>
  <c r="AR148" i="7" s="1"/>
  <c r="AK162" i="13"/>
  <c r="AM162" i="13" s="1"/>
  <c r="AP163" i="7"/>
  <c r="AR163" i="7" s="1"/>
  <c r="Q245" i="13"/>
  <c r="AC71" i="13"/>
  <c r="AE71" i="13" s="1"/>
  <c r="AH72" i="7"/>
  <c r="AJ72" i="7" s="1"/>
  <c r="Q242" i="13"/>
  <c r="S242" i="13" s="1"/>
  <c r="X242" i="13"/>
  <c r="Q71" i="13"/>
  <c r="S71" i="13" s="1"/>
  <c r="X71" i="13" s="1"/>
  <c r="AK229" i="13"/>
  <c r="AM229" i="13" s="1"/>
  <c r="AP230" i="7"/>
  <c r="AR230" i="7" s="1"/>
  <c r="O63" i="13"/>
  <c r="M80" i="13"/>
  <c r="Y210" i="13"/>
  <c r="AA210" i="13" s="1"/>
  <c r="AF210" i="13" s="1"/>
  <c r="Z210" i="13"/>
  <c r="AK180" i="13"/>
  <c r="AM180" i="13" s="1"/>
  <c r="AP181" i="7"/>
  <c r="AR181" i="7" s="1"/>
  <c r="M82" i="14"/>
  <c r="Q82" i="14" s="1"/>
  <c r="R26" i="15"/>
  <c r="M101" i="14" s="1"/>
  <c r="Q101" i="14" s="1"/>
  <c r="H34" i="12"/>
  <c r="E14" i="12" s="1"/>
  <c r="K14" i="19" s="1"/>
  <c r="F32" i="8"/>
  <c r="G32" i="8" s="1"/>
  <c r="Y264" i="13"/>
  <c r="Y91" i="13"/>
  <c r="K232" i="13"/>
  <c r="F35" i="12" s="1"/>
  <c r="H35" i="12" s="1"/>
  <c r="E15" i="12" s="1"/>
  <c r="K15" i="19" s="1"/>
  <c r="P215" i="13"/>
  <c r="BH55" i="8"/>
  <c r="AK211" i="13"/>
  <c r="AM211" i="13" s="1"/>
  <c r="AP212" i="7"/>
  <c r="AR212" i="7" s="1"/>
  <c r="Y52" i="13"/>
  <c r="AC67" i="13"/>
  <c r="AE67" i="13" s="1"/>
  <c r="AH68" i="7"/>
  <c r="AJ68" i="7" s="1"/>
  <c r="AC121" i="13"/>
  <c r="AE121" i="13" s="1"/>
  <c r="AH122" i="7"/>
  <c r="AJ122" i="7" s="1"/>
  <c r="AK26" i="13"/>
  <c r="AM26" i="13" s="1"/>
  <c r="AP27" i="7"/>
  <c r="AR27" i="7" s="1"/>
  <c r="AA121" i="7"/>
  <c r="Y138" i="7"/>
  <c r="Z31" i="9"/>
  <c r="N12" i="9" s="1"/>
  <c r="E69" i="19" s="1"/>
  <c r="AK265" i="13"/>
  <c r="AM265" i="13" s="1"/>
  <c r="AP266" i="7"/>
  <c r="AR266" i="7" s="1"/>
  <c r="AK155" i="13"/>
  <c r="AM155" i="13" s="1"/>
  <c r="AP156" i="7"/>
  <c r="AR156" i="7" s="1"/>
  <c r="AK227" i="13"/>
  <c r="AM227" i="13" s="1"/>
  <c r="AP228" i="7"/>
  <c r="AR228" i="7" s="1"/>
  <c r="AS216" i="13"/>
  <c r="AU216" i="13" s="1"/>
  <c r="AX217" i="7"/>
  <c r="AK169" i="13"/>
  <c r="AM169" i="13" s="1"/>
  <c r="AP170" i="7"/>
  <c r="AR170" i="7" s="1"/>
  <c r="Y85" i="13"/>
  <c r="Z85" i="13"/>
  <c r="AC241" i="13"/>
  <c r="AE241" i="13" s="1"/>
  <c r="AH242" i="7"/>
  <c r="AJ242" i="7" s="1"/>
  <c r="Y141" i="13"/>
  <c r="AA141" i="13" s="1"/>
  <c r="AF141" i="13" s="1"/>
  <c r="P25" i="13"/>
  <c r="K42" i="13"/>
  <c r="F26" i="12" s="1"/>
  <c r="AA94" i="13"/>
  <c r="AF94" i="13" s="1"/>
  <c r="AH94" i="13" s="1"/>
  <c r="AC122" i="13"/>
  <c r="AE122" i="13" s="1"/>
  <c r="AH123" i="7"/>
  <c r="AJ123" i="7" s="1"/>
  <c r="S228" i="13"/>
  <c r="X228" i="13" s="1"/>
  <c r="AH30" i="13"/>
  <c r="AK179" i="13"/>
  <c r="AM179" i="13" s="1"/>
  <c r="AP180" i="7"/>
  <c r="AR180" i="7" s="1"/>
  <c r="AK164" i="13"/>
  <c r="AM164" i="13" s="1"/>
  <c r="AP165" i="7"/>
  <c r="AR165" i="7" s="1"/>
  <c r="U253" i="13"/>
  <c r="T271" i="7"/>
  <c r="A71" i="18" s="1"/>
  <c r="F71" i="18" s="1"/>
  <c r="Z254" i="7"/>
  <c r="AC249" i="13"/>
  <c r="AE249" i="13" s="1"/>
  <c r="AH250" i="7"/>
  <c r="AJ250" i="7" s="1"/>
  <c r="AG182" i="13"/>
  <c r="AH182" i="13"/>
  <c r="P177" i="13"/>
  <c r="K194" i="13"/>
  <c r="F33" i="12" s="1"/>
  <c r="S279" i="13"/>
  <c r="X279" i="13" s="1"/>
  <c r="O234" i="13"/>
  <c r="M251" i="13"/>
  <c r="K289" i="13"/>
  <c r="F38" i="12" s="1"/>
  <c r="P272" i="13"/>
  <c r="Y257" i="13"/>
  <c r="Z257" i="13"/>
  <c r="AC12" i="13"/>
  <c r="AE12" i="13" s="1"/>
  <c r="AH13" i="7"/>
  <c r="AJ13" i="7" s="1"/>
  <c r="AK217" i="13"/>
  <c r="AM217" i="13" s="1"/>
  <c r="AP218" i="7"/>
  <c r="AR218" i="7" s="1"/>
  <c r="E5" i="9"/>
  <c r="AC129" i="13"/>
  <c r="AE129" i="13" s="1"/>
  <c r="AH130" i="7"/>
  <c r="AJ130" i="7" s="1"/>
  <c r="AK145" i="13"/>
  <c r="AM145" i="13" s="1"/>
  <c r="AP146" i="7"/>
  <c r="AR146" i="7" s="1"/>
  <c r="AC76" i="13"/>
  <c r="AE76" i="13" s="1"/>
  <c r="AH77" i="7"/>
  <c r="AJ77" i="7" s="1"/>
  <c r="AK90" i="13"/>
  <c r="AM90" i="13" s="1"/>
  <c r="AP91" i="7"/>
  <c r="AR91" i="7" s="1"/>
  <c r="AK35" i="13"/>
  <c r="AM35" i="13" s="1"/>
  <c r="AP36" i="7"/>
  <c r="AR36" i="7" s="1"/>
  <c r="Y84" i="13"/>
  <c r="AA84" i="13" s="1"/>
  <c r="AF84" i="13" s="1"/>
  <c r="K175" i="13"/>
  <c r="F32" i="12" s="1"/>
  <c r="P158" i="13"/>
  <c r="AK160" i="13"/>
  <c r="AM160" i="13" s="1"/>
  <c r="AP161" i="7"/>
  <c r="AR161" i="7" s="1"/>
  <c r="Y27" i="14"/>
  <c r="AH16" i="8"/>
  <c r="AF19" i="8"/>
  <c r="O61" i="13"/>
  <c r="Q67" i="13"/>
  <c r="S67" i="13" s="1"/>
  <c r="X67" i="13"/>
  <c r="Q121" i="13"/>
  <c r="S121" i="13" s="1"/>
  <c r="X121" i="13" s="1"/>
  <c r="AC126" i="13"/>
  <c r="AE126" i="13" s="1"/>
  <c r="AH127" i="7"/>
  <c r="AJ127" i="7" s="1"/>
  <c r="AK219" i="13"/>
  <c r="AM219" i="13" s="1"/>
  <c r="AP220" i="7"/>
  <c r="AR220" i="7" s="1"/>
  <c r="Q62" i="14"/>
  <c r="AK143" i="13"/>
  <c r="AM143" i="13" s="1"/>
  <c r="AP144" i="7"/>
  <c r="AR144" i="7" s="1"/>
  <c r="AC66" i="13"/>
  <c r="AE66" i="13" s="1"/>
  <c r="AH67" i="7"/>
  <c r="AJ67" i="7" s="1"/>
  <c r="AK45" i="13"/>
  <c r="AM45" i="13" s="1"/>
  <c r="AP46" i="7"/>
  <c r="AR46" i="7" s="1"/>
  <c r="AC127" i="13"/>
  <c r="AE127" i="13" s="1"/>
  <c r="AH128" i="7"/>
  <c r="AJ128" i="7" s="1"/>
  <c r="AS206" i="13"/>
  <c r="AU206" i="13" s="1"/>
  <c r="AX207" i="7"/>
  <c r="Z74" i="13"/>
  <c r="F22" i="3"/>
  <c r="F24" i="3" s="1"/>
  <c r="F21" i="3"/>
  <c r="G19" i="3" s="1"/>
  <c r="AS201" i="13"/>
  <c r="AU201" i="13" s="1"/>
  <c r="AX202" i="7"/>
  <c r="AC77" i="13"/>
  <c r="AE77" i="13" s="1"/>
  <c r="AH78" i="7"/>
  <c r="AJ78" i="7" s="1"/>
  <c r="AK228" i="13"/>
  <c r="AM228" i="13" s="1"/>
  <c r="AP229" i="7"/>
  <c r="AR229" i="7" s="1"/>
  <c r="Y97" i="13"/>
  <c r="AA97" i="13" s="1"/>
  <c r="AF97" i="13"/>
  <c r="Z97" i="13"/>
  <c r="AF37" i="9"/>
  <c r="AD37" i="9"/>
  <c r="AG37" i="9" s="1"/>
  <c r="AC8" i="13"/>
  <c r="AE8" i="13" s="1"/>
  <c r="AH9" i="7"/>
  <c r="AJ9" i="7" s="1"/>
  <c r="AK96" i="13"/>
  <c r="AM96" i="13" s="1"/>
  <c r="AP97" i="7"/>
  <c r="AR97" i="7" s="1"/>
  <c r="AU5" i="8"/>
  <c r="Z79" i="13"/>
  <c r="AS257" i="13"/>
  <c r="AU257" i="13" s="1"/>
  <c r="AX258" i="7"/>
  <c r="AS182" i="13"/>
  <c r="AU182" i="13" s="1"/>
  <c r="AX183" i="7"/>
  <c r="AK54" i="13"/>
  <c r="AM54" i="13" s="1"/>
  <c r="AP55" i="7"/>
  <c r="AR55" i="7" s="1"/>
  <c r="AK36" i="13"/>
  <c r="AM36" i="13" s="1"/>
  <c r="AP37" i="7"/>
  <c r="AR37" i="7" s="1"/>
  <c r="AC134" i="13"/>
  <c r="AE134" i="13" s="1"/>
  <c r="AH135" i="7"/>
  <c r="AJ135" i="7" s="1"/>
  <c r="AK277" i="13"/>
  <c r="AM277" i="13" s="1"/>
  <c r="AP278" i="7"/>
  <c r="AR278" i="7" s="1"/>
  <c r="S68" i="13"/>
  <c r="X68" i="13" s="1"/>
  <c r="AK29" i="13"/>
  <c r="AM29" i="13" s="1"/>
  <c r="AP30" i="7"/>
  <c r="AR30" i="7" s="1"/>
  <c r="AS286" i="13"/>
  <c r="AU286" i="13" s="1"/>
  <c r="AX287" i="7"/>
  <c r="AC10" i="13"/>
  <c r="AE10" i="13" s="1"/>
  <c r="AH11" i="7"/>
  <c r="AJ11" i="7" s="1"/>
  <c r="V14" i="23"/>
  <c r="W14" i="23" s="1"/>
  <c r="Z91" i="13"/>
  <c r="S38" i="13"/>
  <c r="X38" i="13" s="1"/>
  <c r="W23" i="13"/>
  <c r="AS284" i="13"/>
  <c r="AU284" i="13" s="1"/>
  <c r="AX285" i="7"/>
  <c r="AK167" i="13"/>
  <c r="AM167" i="13" s="1"/>
  <c r="AP168" i="7"/>
  <c r="AR168" i="7" s="1"/>
  <c r="AC246" i="13"/>
  <c r="AE246" i="13" s="1"/>
  <c r="AH247" i="7"/>
  <c r="AJ247" i="7" s="1"/>
  <c r="Z29" i="9"/>
  <c r="N10" i="9" s="1"/>
  <c r="E67" i="19" s="1"/>
  <c r="AI225" i="13"/>
  <c r="AN225" i="13" s="1"/>
  <c r="AC236" i="13"/>
  <c r="AE236" i="13" s="1"/>
  <c r="AH237" i="7"/>
  <c r="AJ237" i="7" s="1"/>
  <c r="AC238" i="13"/>
  <c r="AE238" i="13" s="1"/>
  <c r="AH239" i="7"/>
  <c r="AJ239" i="7" s="1"/>
  <c r="Y292" i="7"/>
  <c r="S309" i="7"/>
  <c r="AC72" i="13"/>
  <c r="AE72" i="13" s="1"/>
  <c r="AH73" i="7"/>
  <c r="AJ73" i="7" s="1"/>
  <c r="AC250" i="13"/>
  <c r="AE250" i="13" s="1"/>
  <c r="AH251" i="7"/>
  <c r="AJ251" i="7" s="1"/>
  <c r="BH60" i="8"/>
  <c r="BJ60" i="8" s="1"/>
  <c r="AC245" i="13"/>
  <c r="AE245" i="13" s="1"/>
  <c r="AH246" i="7"/>
  <c r="AJ246" i="7" s="1"/>
  <c r="O194" i="13"/>
  <c r="R177" i="13"/>
  <c r="R194" i="13" s="1"/>
  <c r="AK28" i="13"/>
  <c r="AM28" i="13" s="1"/>
  <c r="AP29" i="7"/>
  <c r="AR29" i="7" s="1"/>
  <c r="S140" i="13"/>
  <c r="X140" i="13" s="1"/>
  <c r="S12" i="13"/>
  <c r="X12" i="13" s="1"/>
  <c r="AK52" i="13"/>
  <c r="AM52" i="13" s="1"/>
  <c r="AP53" i="7"/>
  <c r="AR53" i="7" s="1"/>
  <c r="S250" i="13"/>
  <c r="X250" i="13" s="1"/>
  <c r="AK266" i="13"/>
  <c r="AM266" i="13" s="1"/>
  <c r="AP267" i="7"/>
  <c r="AR267" i="7" s="1"/>
  <c r="AA283" i="13"/>
  <c r="AF283" i="13" s="1"/>
  <c r="AA202" i="13"/>
  <c r="AF202" i="13" s="1"/>
  <c r="AA204" i="13"/>
  <c r="AF204" i="13" s="1"/>
  <c r="AH204" i="13" s="1"/>
  <c r="AA83" i="13"/>
  <c r="AF83" i="13" s="1"/>
  <c r="AA26" i="13"/>
  <c r="AF26" i="13" s="1"/>
  <c r="AA206" i="13"/>
  <c r="AF206" i="13" s="1"/>
  <c r="AA188" i="13"/>
  <c r="AF188" i="13" s="1"/>
  <c r="AH188" i="13" s="1"/>
  <c r="BF59" i="8"/>
  <c r="AA262" i="13"/>
  <c r="AF262" i="13" s="1"/>
  <c r="AH262" i="13" s="1"/>
  <c r="AG282" i="13"/>
  <c r="AI282" i="13" s="1"/>
  <c r="AN282" i="13"/>
  <c r="Y230" i="13"/>
  <c r="AS197" i="13"/>
  <c r="AU197" i="13" s="1"/>
  <c r="AX198" i="7"/>
  <c r="Y181" i="13"/>
  <c r="AS85" i="13"/>
  <c r="AU85" i="13" s="1"/>
  <c r="AX86" i="7"/>
  <c r="BF9" i="8"/>
  <c r="BH9" i="8" s="1"/>
  <c r="G85" i="19" s="1"/>
  <c r="V85" i="19" s="1"/>
  <c r="BJ48" i="8"/>
  <c r="AC64" i="13"/>
  <c r="AE64" i="13" s="1"/>
  <c r="AH65" i="7"/>
  <c r="AJ65" i="7" s="1"/>
  <c r="Y90" i="13"/>
  <c r="K234" i="13"/>
  <c r="Y170" i="13"/>
  <c r="S223" i="13"/>
  <c r="X223" i="13" s="1"/>
  <c r="Y134" i="13"/>
  <c r="AC135" i="13"/>
  <c r="AE135" i="13" s="1"/>
  <c r="AH136" i="7"/>
  <c r="AJ136" i="7" s="1"/>
  <c r="AK200" i="13"/>
  <c r="AM200" i="13" s="1"/>
  <c r="AP201" i="7"/>
  <c r="AR201" i="7" s="1"/>
  <c r="Q135" i="13"/>
  <c r="S135" i="13" s="1"/>
  <c r="X135" i="13"/>
  <c r="AK41" i="13"/>
  <c r="AM41" i="13" s="1"/>
  <c r="AP42" i="7"/>
  <c r="AR42" i="7" s="1"/>
  <c r="AC19" i="13"/>
  <c r="AE19" i="13" s="1"/>
  <c r="AH20" i="7"/>
  <c r="AJ20" i="7" s="1"/>
  <c r="AG287" i="13"/>
  <c r="U82" i="13"/>
  <c r="T100" i="7"/>
  <c r="A63" i="18" s="1"/>
  <c r="F63" i="18" s="1"/>
  <c r="Z83" i="7"/>
  <c r="Y143" i="13"/>
  <c r="AA143" i="13" s="1"/>
  <c r="AF143" i="13" s="1"/>
  <c r="AS221" i="13"/>
  <c r="AU221" i="13" s="1"/>
  <c r="AX222" i="7"/>
  <c r="AK173" i="13"/>
  <c r="AM173" i="13" s="1"/>
  <c r="AP174" i="7"/>
  <c r="AR174" i="7" s="1"/>
  <c r="AC21" i="13"/>
  <c r="AE21" i="13" s="1"/>
  <c r="AH22" i="7"/>
  <c r="AJ22" i="7" s="1"/>
  <c r="BW54" i="8"/>
  <c r="BS15" i="8"/>
  <c r="BU15" i="8" s="1"/>
  <c r="G110" i="19" s="1"/>
  <c r="AC131" i="13"/>
  <c r="AE131" i="13" s="1"/>
  <c r="AH132" i="7"/>
  <c r="AJ132" i="7" s="1"/>
  <c r="AH147" i="13"/>
  <c r="AG93" i="13"/>
  <c r="AI93" i="13" s="1"/>
  <c r="AN93" i="13"/>
  <c r="AC136" i="13"/>
  <c r="AE136" i="13" s="1"/>
  <c r="AH137" i="7"/>
  <c r="AJ137" i="7" s="1"/>
  <c r="Y265" i="13"/>
  <c r="AA265" i="13" s="1"/>
  <c r="AF265" i="13" s="1"/>
  <c r="Y189" i="13"/>
  <c r="R63" i="9"/>
  <c r="U46" i="9"/>
  <c r="Y28" i="13"/>
  <c r="AC124" i="13"/>
  <c r="AE124" i="13" s="1"/>
  <c r="AH125" i="7"/>
  <c r="AJ125" i="7" s="1"/>
  <c r="G35" i="19"/>
  <c r="U19" i="8"/>
  <c r="Y60" i="13"/>
  <c r="Q241" i="13"/>
  <c r="R17" i="13"/>
  <c r="AS288" i="13"/>
  <c r="AU288" i="13" s="1"/>
  <c r="AX289" i="7"/>
  <c r="Y86" i="13"/>
  <c r="AA86" i="13" s="1"/>
  <c r="AF86" i="13" s="1"/>
  <c r="Q127" i="13"/>
  <c r="AK208" i="13"/>
  <c r="AM208" i="13" s="1"/>
  <c r="AP209" i="7"/>
  <c r="AR209" i="7" s="1"/>
  <c r="Y217" i="13"/>
  <c r="AA217" i="13" s="1"/>
  <c r="AF217" i="13"/>
  <c r="AK53" i="13"/>
  <c r="AM53" i="13" s="1"/>
  <c r="AP54" i="7"/>
  <c r="AR54" i="7" s="1"/>
  <c r="Y192" i="13"/>
  <c r="K63" i="13"/>
  <c r="E27" i="18"/>
  <c r="N9" i="19"/>
  <c r="BS55" i="8"/>
  <c r="BU55" i="8" s="1"/>
  <c r="Z67" i="13"/>
  <c r="AC22" i="13"/>
  <c r="AE22" i="13" s="1"/>
  <c r="AH23" i="7"/>
  <c r="AJ23" i="7" s="1"/>
  <c r="AH26" i="13"/>
  <c r="Y62" i="7"/>
  <c r="AA45" i="7"/>
  <c r="Y57" i="13"/>
  <c r="G5" i="22"/>
  <c r="H5" i="22" s="1"/>
  <c r="H18" i="22" s="1"/>
  <c r="F21" i="23" s="1"/>
  <c r="G21" i="23" s="1"/>
  <c r="H21" i="23" s="1"/>
  <c r="H22" i="23" s="1"/>
  <c r="AR5" i="16"/>
  <c r="AC11" i="13"/>
  <c r="AE11" i="13" s="1"/>
  <c r="AH12" i="7"/>
  <c r="AJ12" i="7" s="1"/>
  <c r="AN288" i="13"/>
  <c r="AG288" i="13"/>
  <c r="AI288" i="13" s="1"/>
  <c r="Y142" i="13"/>
  <c r="Z142" i="13"/>
  <c r="Y33" i="13"/>
  <c r="AF153" i="13"/>
  <c r="Y153" i="13"/>
  <c r="AA153" i="13" s="1"/>
  <c r="AK31" i="13"/>
  <c r="AM31" i="13" s="1"/>
  <c r="AP32" i="7"/>
  <c r="AR32" i="7" s="1"/>
  <c r="Y165" i="13"/>
  <c r="AA165" i="13" s="1"/>
  <c r="AF165" i="13" s="1"/>
  <c r="AK161" i="13"/>
  <c r="AM161" i="13" s="1"/>
  <c r="AP162" i="7"/>
  <c r="AR162" i="7" s="1"/>
  <c r="Z181" i="13"/>
  <c r="Z143" i="13"/>
  <c r="BJ54" i="8"/>
  <c r="BF15" i="8"/>
  <c r="BH15" i="8" s="1"/>
  <c r="G91" i="19" s="1"/>
  <c r="O270" i="13"/>
  <c r="R253" i="13"/>
  <c r="R270" i="13" s="1"/>
  <c r="K99" i="13"/>
  <c r="F29" i="12" s="1"/>
  <c r="P82" i="13"/>
  <c r="Y169" i="13"/>
  <c r="AA169" i="13" s="1"/>
  <c r="AF169" i="13" s="1"/>
  <c r="Q77" i="13"/>
  <c r="AG231" i="13"/>
  <c r="AG178" i="7"/>
  <c r="AA195" i="7"/>
  <c r="BP44" i="8"/>
  <c r="Y244" i="13"/>
  <c r="Y274" i="13"/>
  <c r="S65" i="13"/>
  <c r="X65" i="13" s="1"/>
  <c r="Z65" i="13" s="1"/>
  <c r="Y11" i="13"/>
  <c r="AA11" i="13" s="1"/>
  <c r="AF11" i="13"/>
  <c r="AK184" i="13"/>
  <c r="AM184" i="13" s="1"/>
  <c r="AP185" i="7"/>
  <c r="AR185" i="7" s="1"/>
  <c r="AK92" i="13"/>
  <c r="AM92" i="13" s="1"/>
  <c r="AP93" i="7"/>
  <c r="AR93" i="7" s="1"/>
  <c r="Y173" i="13"/>
  <c r="AA173" i="13" s="1"/>
  <c r="AF173" i="13" s="1"/>
  <c r="AG146" i="13"/>
  <c r="AI146" i="13" s="1"/>
  <c r="AN146" i="13" s="1"/>
  <c r="AG216" i="13"/>
  <c r="AI216" i="13" s="1"/>
  <c r="AN216" i="13" s="1"/>
  <c r="U215" i="13"/>
  <c r="Z216" i="7"/>
  <c r="T233" i="7"/>
  <c r="A69" i="18" s="1"/>
  <c r="F69" i="18" s="1"/>
  <c r="I69" i="18" s="1"/>
  <c r="K69" i="18" s="1"/>
  <c r="K15" i="18" s="1"/>
  <c r="Q53" i="19" s="1"/>
  <c r="AK275" i="13"/>
  <c r="AM275" i="13" s="1"/>
  <c r="AP276" i="7"/>
  <c r="AR276" i="7" s="1"/>
  <c r="Z12" i="13"/>
  <c r="AK224" i="13"/>
  <c r="AM224" i="13" s="1"/>
  <c r="AP225" i="7"/>
  <c r="AR225" i="7" s="1"/>
  <c r="Y50" i="13"/>
  <c r="AA50" i="13" s="1"/>
  <c r="AF50" i="13"/>
  <c r="Y256" i="13"/>
  <c r="AA256" i="13" s="1"/>
  <c r="AF256" i="13" s="1"/>
  <c r="AN284" i="13"/>
  <c r="AG284" i="13"/>
  <c r="AI284" i="13" s="1"/>
  <c r="Y190" i="13"/>
  <c r="AH35" i="13"/>
  <c r="AJ62" i="9"/>
  <c r="AL62" i="9" s="1"/>
  <c r="AC70" i="13"/>
  <c r="AE70" i="13" s="1"/>
  <c r="AH71" i="7"/>
  <c r="AJ71" i="7" s="1"/>
  <c r="AS178" i="13"/>
  <c r="AU178" i="13" s="1"/>
  <c r="AX179" i="7"/>
  <c r="AS220" i="13"/>
  <c r="AU220" i="13" s="1"/>
  <c r="AX221" i="7"/>
  <c r="P28" i="15"/>
  <c r="T46" i="14"/>
  <c r="Y235" i="13"/>
  <c r="R82" i="13"/>
  <c r="R99" i="13" s="1"/>
  <c r="O99" i="13"/>
  <c r="X247" i="13"/>
  <c r="Q247" i="13"/>
  <c r="S247" i="13" s="1"/>
  <c r="Z52" i="13"/>
  <c r="AH219" i="13"/>
  <c r="M81" i="14"/>
  <c r="R25" i="15"/>
  <c r="M100" i="14" s="1"/>
  <c r="AC15" i="13"/>
  <c r="AE15" i="13" s="1"/>
  <c r="AH16" i="7"/>
  <c r="AJ16" i="7" s="1"/>
  <c r="AC69" i="13"/>
  <c r="AE69" i="13" s="1"/>
  <c r="AH70" i="7"/>
  <c r="AJ70" i="7" s="1"/>
  <c r="Y39" i="13"/>
  <c r="AA39" i="13" s="1"/>
  <c r="AF39" i="13" s="1"/>
  <c r="AI178" i="13"/>
  <c r="AN178" i="13" s="1"/>
  <c r="R239" i="13"/>
  <c r="Z8" i="13"/>
  <c r="S126" i="13"/>
  <c r="X126" i="13" s="1"/>
  <c r="AK205" i="13"/>
  <c r="AM205" i="13" s="1"/>
  <c r="AP206" i="7"/>
  <c r="AR206" i="7" s="1"/>
  <c r="Z134" i="13"/>
  <c r="Z189" i="13"/>
  <c r="Y128" i="13"/>
  <c r="AA128" i="13" s="1"/>
  <c r="AF128" i="13" s="1"/>
  <c r="AS183" i="13"/>
  <c r="AU183" i="13" s="1"/>
  <c r="AX184" i="7"/>
  <c r="Z264" i="13"/>
  <c r="Y248" i="13"/>
  <c r="AA248" i="13" s="1"/>
  <c r="AF248" i="13" s="1"/>
  <c r="Z165" i="13"/>
  <c r="AP284" i="13"/>
  <c r="Y59" i="13"/>
  <c r="AA59" i="13" s="1"/>
  <c r="AF59" i="13" s="1"/>
  <c r="S124" i="13"/>
  <c r="X124" i="13" s="1"/>
  <c r="P137" i="13"/>
  <c r="AK159" i="13"/>
  <c r="AM159" i="13" s="1"/>
  <c r="AP160" i="7"/>
  <c r="AR160" i="7" s="1"/>
  <c r="AG96" i="13"/>
  <c r="AI96" i="13" s="1"/>
  <c r="AN96" i="13" s="1"/>
  <c r="Z250" i="13"/>
  <c r="C33" i="8"/>
  <c r="E30" i="4"/>
  <c r="E32" i="4" s="1"/>
  <c r="BS60" i="8"/>
  <c r="BU60" i="8"/>
  <c r="BW60" i="8" s="1"/>
  <c r="Y24" i="7"/>
  <c r="AA7" i="7"/>
  <c r="S87" i="13"/>
  <c r="X87" i="13" s="1"/>
  <c r="P270" i="13"/>
  <c r="X253" i="13"/>
  <c r="Q253" i="13"/>
  <c r="S253" i="13" s="1"/>
  <c r="S270" i="13" s="1"/>
  <c r="L37" i="12" s="1"/>
  <c r="N37" i="12" s="1"/>
  <c r="H17" i="12" s="1"/>
  <c r="K36" i="19" s="1"/>
  <c r="AK98" i="13"/>
  <c r="AM98" i="13" s="1"/>
  <c r="AP99" i="7"/>
  <c r="AR99" i="7" s="1"/>
  <c r="Z230" i="13"/>
  <c r="Z235" i="13"/>
  <c r="R243" i="13"/>
  <c r="AA219" i="13"/>
  <c r="AF219" i="13" s="1"/>
  <c r="AA207" i="13"/>
  <c r="AF207" i="13" s="1"/>
  <c r="AH207" i="13" s="1"/>
  <c r="AA35" i="13"/>
  <c r="AF35" i="13" s="1"/>
  <c r="AA27" i="13"/>
  <c r="AF27" i="13" s="1"/>
  <c r="I41" i="18"/>
  <c r="AA205" i="13"/>
  <c r="AF205" i="13" s="1"/>
  <c r="AS285" i="13"/>
  <c r="AU285" i="13" s="1"/>
  <c r="AX286" i="7"/>
  <c r="X36" i="9"/>
  <c r="AA36" i="9" s="1"/>
  <c r="AH83" i="13"/>
  <c r="E14" i="25"/>
  <c r="AE89" i="19"/>
  <c r="AK165" i="13"/>
  <c r="AM165" i="13" s="1"/>
  <c r="AP166" i="7"/>
  <c r="AR166" i="7" s="1"/>
  <c r="Y29" i="13"/>
  <c r="AA29" i="13" s="1"/>
  <c r="AF29" i="13" s="1"/>
  <c r="AF275" i="13"/>
  <c r="Y275" i="13"/>
  <c r="AA275" i="13" s="1"/>
  <c r="Y155" i="13"/>
  <c r="AA155" i="13" s="1"/>
  <c r="AF155" i="13" s="1"/>
  <c r="Y263" i="13"/>
  <c r="AA263" i="13" s="1"/>
  <c r="AF263" i="13" s="1"/>
  <c r="AP285" i="13"/>
  <c r="X136" i="13"/>
  <c r="Q136" i="13"/>
  <c r="S136" i="13" s="1"/>
  <c r="AK255" i="13"/>
  <c r="AM255" i="13" s="1"/>
  <c r="AP256" i="7"/>
  <c r="AR256" i="7" s="1"/>
  <c r="AV108" i="16"/>
  <c r="AJ50" i="9"/>
  <c r="AL50" i="9" s="1"/>
  <c r="S9" i="9" s="1"/>
  <c r="D104" i="19" s="1"/>
  <c r="V104" i="19" s="1"/>
  <c r="AK40" i="13"/>
  <c r="AM40" i="13" s="1"/>
  <c r="AP41" i="7"/>
  <c r="AR41" i="7" s="1"/>
  <c r="AK192" i="13"/>
  <c r="AM192" i="13" s="1"/>
  <c r="AP193" i="7"/>
  <c r="AR193" i="7" s="1"/>
  <c r="R24" i="7"/>
  <c r="T7" i="7"/>
  <c r="AK34" i="13"/>
  <c r="AM34" i="13" s="1"/>
  <c r="AP35" i="7"/>
  <c r="AR35" i="7" s="1"/>
  <c r="AK209" i="13"/>
  <c r="AM209" i="13" s="1"/>
  <c r="AP210" i="7"/>
  <c r="AR210" i="7" s="1"/>
  <c r="AK262" i="13"/>
  <c r="AM262" i="13" s="1"/>
  <c r="AP263" i="7"/>
  <c r="AR263" i="7" s="1"/>
  <c r="AK75" i="13"/>
  <c r="AM75" i="13" s="1"/>
  <c r="AP76" i="7"/>
  <c r="AR76" i="7" s="1"/>
  <c r="AS287" i="13"/>
  <c r="AU287" i="13" s="1"/>
  <c r="AX288" i="7"/>
  <c r="AK186" i="13"/>
  <c r="AM186" i="13" s="1"/>
  <c r="AP187" i="7"/>
  <c r="AR187" i="7" s="1"/>
  <c r="AS150" i="13"/>
  <c r="AU150" i="13" s="1"/>
  <c r="AX151" i="7"/>
  <c r="Y211" i="13"/>
  <c r="AA211" i="13" s="1"/>
  <c r="AF211" i="13" s="1"/>
  <c r="Z64" i="13"/>
  <c r="AC125" i="13"/>
  <c r="AE125" i="13" s="1"/>
  <c r="AH126" i="7"/>
  <c r="AJ126" i="7" s="1"/>
  <c r="AK203" i="13"/>
  <c r="AM203" i="13" s="1"/>
  <c r="AP204" i="7"/>
  <c r="AR204" i="7" s="1"/>
  <c r="Y269" i="13"/>
  <c r="AA269" i="13" s="1"/>
  <c r="AF269" i="13"/>
  <c r="AK33" i="13"/>
  <c r="AM33" i="13" s="1"/>
  <c r="AP34" i="7"/>
  <c r="AR34" i="7" s="1"/>
  <c r="AC9" i="13"/>
  <c r="AE9" i="13" s="1"/>
  <c r="AH10" i="7"/>
  <c r="AJ10" i="7" s="1"/>
  <c r="AK254" i="13"/>
  <c r="AM254" i="13" s="1"/>
  <c r="AP255" i="7"/>
  <c r="AR255" i="7" s="1"/>
  <c r="Z135" i="13"/>
  <c r="AH200" i="13"/>
  <c r="U196" i="13"/>
  <c r="Z197" i="7"/>
  <c r="T214" i="7"/>
  <c r="A68" i="18" s="1"/>
  <c r="F68" i="18" s="1"/>
  <c r="I68" i="18" s="1"/>
  <c r="K68" i="18" s="1"/>
  <c r="K14" i="18" s="1"/>
  <c r="Q52" i="19" s="1"/>
  <c r="Z19" i="13"/>
  <c r="AK230" i="13"/>
  <c r="AM230" i="13" s="1"/>
  <c r="AP231" i="7"/>
  <c r="AR231" i="7" s="1"/>
  <c r="X129" i="13"/>
  <c r="Q129" i="13"/>
  <c r="S129" i="13" s="1"/>
  <c r="AK48" i="13"/>
  <c r="AM48" i="13" s="1"/>
  <c r="AP49" i="7"/>
  <c r="AR49" i="7" s="1"/>
  <c r="AK281" i="13"/>
  <c r="AM281" i="13" s="1"/>
  <c r="AP282" i="7"/>
  <c r="AR282" i="7" s="1"/>
  <c r="Z34" i="9"/>
  <c r="N15" i="9" s="1"/>
  <c r="E72" i="19" s="1"/>
  <c r="AK235" i="13"/>
  <c r="AM235" i="13" s="1"/>
  <c r="AP236" i="7"/>
  <c r="AR236" i="7" s="1"/>
  <c r="Z21" i="13"/>
  <c r="R241" i="13"/>
  <c r="I15" i="3"/>
  <c r="I16" i="3" s="1"/>
  <c r="J15" i="3" s="1"/>
  <c r="J16" i="3" s="1"/>
  <c r="K15" i="3" s="1"/>
  <c r="K16" i="3" s="1"/>
  <c r="L15" i="3" s="1"/>
  <c r="L16" i="3" s="1"/>
  <c r="M15" i="3" s="1"/>
  <c r="M16" i="3" s="1"/>
  <c r="N15" i="3" s="1"/>
  <c r="N16" i="3" s="1"/>
  <c r="H17" i="3"/>
  <c r="H34" i="3" s="1"/>
  <c r="H20" i="3" s="1"/>
  <c r="S22" i="13"/>
  <c r="X22" i="13" s="1"/>
  <c r="AC130" i="13"/>
  <c r="AE130" i="13" s="1"/>
  <c r="AH131" i="7"/>
  <c r="AJ131" i="7" s="1"/>
  <c r="AG183" i="13"/>
  <c r="D38" i="19"/>
  <c r="V24" i="19"/>
  <c r="Z136" i="13"/>
  <c r="AK152" i="13"/>
  <c r="AM152" i="13" s="1"/>
  <c r="AP153" i="7"/>
  <c r="AR153" i="7" s="1"/>
  <c r="AS97" i="13"/>
  <c r="AU97" i="13" s="1"/>
  <c r="AX98" i="7"/>
  <c r="AS225" i="13"/>
  <c r="AU225" i="13" s="1"/>
  <c r="AX226" i="7"/>
  <c r="D127" i="18"/>
  <c r="H113" i="18"/>
  <c r="Q133" i="13"/>
  <c r="S133" i="13" s="1"/>
  <c r="X133" i="13" s="1"/>
  <c r="Z124" i="13"/>
  <c r="AP288" i="13"/>
  <c r="AK260" i="13"/>
  <c r="AM260" i="13" s="1"/>
  <c r="AP261" i="7"/>
  <c r="AR261" i="7" s="1"/>
  <c r="AA252" i="7"/>
  <c r="AG235" i="7"/>
  <c r="Q249" i="13"/>
  <c r="R215" i="13"/>
  <c r="R232" i="13" s="1"/>
  <c r="O232" i="13"/>
  <c r="T32" i="9"/>
  <c r="K13" i="9" s="1"/>
  <c r="E51" i="19" s="1"/>
  <c r="H109" i="18"/>
  <c r="T28" i="14"/>
  <c r="Y28" i="14" s="1"/>
  <c r="O29" i="15"/>
  <c r="AK193" i="13"/>
  <c r="AM193" i="13" s="1"/>
  <c r="AP194" i="7"/>
  <c r="AR194" i="7" s="1"/>
  <c r="R73" i="13"/>
  <c r="S152" i="13"/>
  <c r="X152" i="13" s="1"/>
  <c r="AJ58" i="9"/>
  <c r="AL58" i="9" s="1"/>
  <c r="S17" i="9" s="1"/>
  <c r="D112" i="19" s="1"/>
  <c r="V112" i="19" s="1"/>
  <c r="AK59" i="13"/>
  <c r="AM59" i="13" s="1"/>
  <c r="AP60" i="7"/>
  <c r="AR60" i="7" s="1"/>
  <c r="Y160" i="13"/>
  <c r="AA160" i="13" s="1"/>
  <c r="AF160" i="13"/>
  <c r="AH160" i="13" s="1"/>
  <c r="C23" i="18"/>
  <c r="AT18" i="16"/>
  <c r="AV5" i="16"/>
  <c r="AV18" i="16" s="1"/>
  <c r="Q10" i="13"/>
  <c r="K61" i="13"/>
  <c r="F27" i="12" s="1"/>
  <c r="P44" i="13"/>
  <c r="Q246" i="13"/>
  <c r="S246" i="13" s="1"/>
  <c r="X246" i="13" s="1"/>
  <c r="AK141" i="13"/>
  <c r="AM141" i="13" s="1"/>
  <c r="AP142" i="7"/>
  <c r="AR142" i="7" s="1"/>
  <c r="Q76" i="13"/>
  <c r="S76" i="13" s="1"/>
  <c r="X76" i="13" s="1"/>
  <c r="U139" i="13"/>
  <c r="T157" i="7"/>
  <c r="A65" i="18" s="1"/>
  <c r="F65" i="18" s="1"/>
  <c r="Z140" i="7"/>
  <c r="AH161" i="13"/>
  <c r="AK269" i="13"/>
  <c r="AM269" i="13" s="1"/>
  <c r="AP270" i="7"/>
  <c r="AR270" i="7" s="1"/>
  <c r="AK223" i="13"/>
  <c r="AM223" i="13" s="1"/>
  <c r="AP224" i="7"/>
  <c r="AR224" i="7" s="1"/>
  <c r="AC16" i="13"/>
  <c r="AE16" i="13" s="1"/>
  <c r="AH17" i="7"/>
  <c r="AJ17" i="7" s="1"/>
  <c r="AA140" i="7"/>
  <c r="Y157" i="7"/>
  <c r="AA26" i="7"/>
  <c r="Y43" i="7"/>
  <c r="Z45" i="13"/>
  <c r="R127" i="13"/>
  <c r="AK153" i="13"/>
  <c r="AM153" i="13" s="1"/>
  <c r="AP154" i="7"/>
  <c r="AR154" i="7" s="1"/>
  <c r="Z40" i="9"/>
  <c r="X40" i="9"/>
  <c r="AA40" i="9" s="1"/>
  <c r="S237" i="13"/>
  <c r="X237" i="13" s="1"/>
  <c r="AK231" i="13"/>
  <c r="AM231" i="13" s="1"/>
  <c r="AP232" i="7"/>
  <c r="AR232" i="7" s="1"/>
  <c r="AS93" i="13"/>
  <c r="AU93" i="13" s="1"/>
  <c r="AX94" i="7"/>
  <c r="AA161" i="13"/>
  <c r="AF161" i="13" s="1"/>
  <c r="BE61" i="8"/>
  <c r="AC20" i="13"/>
  <c r="AE20" i="13" s="1"/>
  <c r="AH21" i="7"/>
  <c r="AJ21" i="7" s="1"/>
  <c r="R35" i="9"/>
  <c r="U35" i="9" s="1"/>
  <c r="AC242" i="13"/>
  <c r="AE242" i="13" s="1"/>
  <c r="AH243" i="7"/>
  <c r="AJ243" i="7" s="1"/>
  <c r="AF39" i="9"/>
  <c r="AD39" i="9"/>
  <c r="AG39" i="9" s="1"/>
  <c r="AL60" i="9"/>
  <c r="AJ60" i="9"/>
  <c r="AC244" i="13"/>
  <c r="AE244" i="13" s="1"/>
  <c r="AH245" i="7"/>
  <c r="AJ245" i="7" s="1"/>
  <c r="AH191" i="13"/>
  <c r="Y197" i="13"/>
  <c r="Z197" i="13"/>
  <c r="Z38" i="9"/>
  <c r="N18" i="9" s="1"/>
  <c r="E75" i="19" s="1"/>
  <c r="X38" i="9"/>
  <c r="AA38" i="9" s="1"/>
  <c r="R252" i="7"/>
  <c r="T235" i="7"/>
  <c r="AK27" i="13"/>
  <c r="AM27" i="13" s="1"/>
  <c r="AP28" i="7"/>
  <c r="AR28" i="7" s="1"/>
  <c r="AK148" i="13"/>
  <c r="AM148" i="13" s="1"/>
  <c r="AP149" i="7"/>
  <c r="AR149" i="7" s="1"/>
  <c r="AH275" i="13"/>
  <c r="Z190" i="13"/>
  <c r="Q123" i="13"/>
  <c r="L24" i="9"/>
  <c r="N24" i="9"/>
  <c r="AL52" i="9"/>
  <c r="S11" i="9" s="1"/>
  <c r="D106" i="19" s="1"/>
  <c r="V106" i="19" s="1"/>
  <c r="AJ52" i="9"/>
  <c r="AK87" i="13"/>
  <c r="AM87" i="13" s="1"/>
  <c r="AP88" i="7"/>
  <c r="AR88" i="7" s="1"/>
  <c r="AK47" i="13"/>
  <c r="AM47" i="13" s="1"/>
  <c r="AP48" i="7"/>
  <c r="AR48" i="7" s="1"/>
  <c r="AK151" i="13"/>
  <c r="AM151" i="13" s="1"/>
  <c r="AP152" i="7"/>
  <c r="AR152" i="7" s="1"/>
  <c r="C59" i="18"/>
  <c r="Z261" i="13"/>
  <c r="AC73" i="13"/>
  <c r="AE73" i="13" s="1"/>
  <c r="AH74" i="7"/>
  <c r="AJ74" i="7" s="1"/>
  <c r="AK280" i="13"/>
  <c r="AM280" i="13" s="1"/>
  <c r="AP281" i="7"/>
  <c r="AR281" i="7" s="1"/>
  <c r="AF62" i="9"/>
  <c r="AP178" i="13"/>
  <c r="S32" i="13"/>
  <c r="X32" i="13" s="1"/>
  <c r="R272" i="13"/>
  <c r="R289" i="13" s="1"/>
  <c r="O289" i="13"/>
  <c r="S208" i="13"/>
  <c r="X208" i="13" s="1"/>
  <c r="Q125" i="13"/>
  <c r="R77" i="13"/>
  <c r="AK273" i="13"/>
  <c r="AM273" i="13" s="1"/>
  <c r="AP274" i="7"/>
  <c r="AR274" i="7" s="1"/>
  <c r="AF30" i="9"/>
  <c r="Q11" i="9" s="1"/>
  <c r="E87" i="19" s="1"/>
  <c r="AD30" i="9"/>
  <c r="AG30" i="9" s="1"/>
  <c r="AC237" i="13"/>
  <c r="AE237" i="13" s="1"/>
  <c r="AH238" i="7"/>
  <c r="AJ238" i="7" s="1"/>
  <c r="AC13" i="13"/>
  <c r="AE13" i="13" s="1"/>
  <c r="AH14" i="7"/>
  <c r="AJ14" i="7" s="1"/>
  <c r="AR36" i="16"/>
  <c r="L14" i="23" s="1"/>
  <c r="AK212" i="13"/>
  <c r="AM212" i="13" s="1"/>
  <c r="AP213" i="7"/>
  <c r="AR213" i="7" s="1"/>
  <c r="R133" i="13"/>
  <c r="Y150" i="13"/>
  <c r="AA150" i="13" s="1"/>
  <c r="AF150" i="13" s="1"/>
  <c r="Z150" i="13"/>
  <c r="AC128" i="13"/>
  <c r="AE128" i="13" s="1"/>
  <c r="AH129" i="7"/>
  <c r="AJ129" i="7" s="1"/>
  <c r="AK166" i="13"/>
  <c r="AM166" i="13" s="1"/>
  <c r="AP167" i="7"/>
  <c r="AR167" i="7" s="1"/>
  <c r="AA258" i="13"/>
  <c r="AF258" i="13" s="1"/>
  <c r="N43" i="19"/>
  <c r="E59" i="18"/>
  <c r="AC133" i="13"/>
  <c r="AE133" i="13" s="1"/>
  <c r="AH134" i="7"/>
  <c r="AJ134" i="7" s="1"/>
  <c r="I65" i="18"/>
  <c r="K65" i="18" s="1"/>
  <c r="K11" i="18" s="1"/>
  <c r="Q49" i="19" s="1"/>
  <c r="AK172" i="13"/>
  <c r="AM172" i="13" s="1"/>
  <c r="AP173" i="7"/>
  <c r="AR173" i="7" s="1"/>
  <c r="AK55" i="13"/>
  <c r="AM55" i="13" s="1"/>
  <c r="AP56" i="7"/>
  <c r="AR56" i="7" s="1"/>
  <c r="AC14" i="13"/>
  <c r="AE14" i="13" s="1"/>
  <c r="AH15" i="7"/>
  <c r="AJ15" i="7" s="1"/>
  <c r="AJ48" i="9"/>
  <c r="AL48" i="9" s="1"/>
  <c r="S7" i="9" s="1"/>
  <c r="D102" i="19" s="1"/>
  <c r="V102" i="19" s="1"/>
  <c r="Y132" i="13"/>
  <c r="AA132" i="13" s="1"/>
  <c r="AF132" i="13"/>
  <c r="AH132" i="13" s="1"/>
  <c r="AH205" i="13"/>
  <c r="AC68" i="13"/>
  <c r="AE68" i="13" s="1"/>
  <c r="AH69" i="7"/>
  <c r="AJ69" i="7" s="1"/>
  <c r="AC100" i="19"/>
  <c r="AC114" i="19" s="1"/>
  <c r="AR108" i="16"/>
  <c r="AS258" i="13"/>
  <c r="AU258" i="13" s="1"/>
  <c r="AX259" i="7"/>
  <c r="AS191" i="13"/>
  <c r="AU191" i="13" s="1"/>
  <c r="AX192" i="7"/>
  <c r="Y220" i="13"/>
  <c r="Z220" i="13"/>
  <c r="R138" i="7"/>
  <c r="T121" i="7"/>
  <c r="AK84" i="13"/>
  <c r="AM84" i="13" s="1"/>
  <c r="AP85" i="7"/>
  <c r="AR85" i="7" s="1"/>
  <c r="AK37" i="13"/>
  <c r="AM37" i="13" s="1"/>
  <c r="AP38" i="7"/>
  <c r="AR38" i="7" s="1"/>
  <c r="AK58" i="13"/>
  <c r="AM58" i="13" s="1"/>
  <c r="AP59" i="7"/>
  <c r="AR59" i="7" s="1"/>
  <c r="O42" i="13"/>
  <c r="R25" i="13"/>
  <c r="R42" i="13" s="1"/>
  <c r="AK278" i="13"/>
  <c r="AM278" i="13" s="1"/>
  <c r="AP279" i="7"/>
  <c r="AR279" i="7" s="1"/>
  <c r="AK140" i="13"/>
  <c r="AM140" i="13" s="1"/>
  <c r="AP141" i="7"/>
  <c r="AR141" i="7" s="1"/>
  <c r="AK207" i="13"/>
  <c r="AM207" i="13" s="1"/>
  <c r="AP208" i="7"/>
  <c r="AR208" i="7" s="1"/>
  <c r="K137" i="13"/>
  <c r="F30" i="12" s="1"/>
  <c r="Y56" i="13"/>
  <c r="AK261" i="13"/>
  <c r="AM261" i="13" s="1"/>
  <c r="AP262" i="7"/>
  <c r="AR262" i="7" s="1"/>
  <c r="R125" i="13"/>
  <c r="Z56" i="13"/>
  <c r="AC247" i="13"/>
  <c r="AE247" i="13" s="1"/>
  <c r="AH248" i="7"/>
  <c r="AJ248" i="7" s="1"/>
  <c r="AC18" i="13"/>
  <c r="AE18" i="13" s="1"/>
  <c r="AH19" i="7"/>
  <c r="AJ19" i="7" s="1"/>
  <c r="AK226" i="13"/>
  <c r="AM226" i="13" s="1"/>
  <c r="AP227" i="7"/>
  <c r="AR227" i="7" s="1"/>
  <c r="O213" i="13"/>
  <c r="R196" i="13"/>
  <c r="R213" i="13" s="1"/>
  <c r="AH98" i="13"/>
  <c r="N45" i="19"/>
  <c r="E61" i="18"/>
  <c r="I61" i="18" s="1"/>
  <c r="K61" i="18" s="1"/>
  <c r="K7" i="18" s="1"/>
  <c r="Q45" i="19" s="1"/>
  <c r="R6" i="13"/>
  <c r="P23" i="13"/>
  <c r="Q6" i="13"/>
  <c r="R158" i="13"/>
  <c r="R175" i="13" s="1"/>
  <c r="O175" i="13"/>
  <c r="AA41" i="13"/>
  <c r="AF41" i="13" s="1"/>
  <c r="AH41" i="13" s="1"/>
  <c r="AA259" i="13"/>
  <c r="AF259" i="13" s="1"/>
  <c r="AA276" i="13"/>
  <c r="AF276" i="13" s="1"/>
  <c r="AA163" i="13"/>
  <c r="AF163" i="13" s="1"/>
  <c r="AH163" i="13" s="1"/>
  <c r="AA171" i="13"/>
  <c r="AF171" i="13" s="1"/>
  <c r="AA162" i="13"/>
  <c r="AF162" i="13" s="1"/>
  <c r="AA167" i="13"/>
  <c r="AF167" i="13" s="1"/>
  <c r="AA268" i="13"/>
  <c r="AF268" i="13" s="1"/>
  <c r="AH268" i="13" s="1"/>
  <c r="Y58" i="13"/>
  <c r="AA58" i="13" s="1"/>
  <c r="AF58" i="13"/>
  <c r="AH58" i="13" s="1"/>
  <c r="Q131" i="13"/>
  <c r="S131" i="13" s="1"/>
  <c r="X131" i="13"/>
  <c r="Z131" i="13" s="1"/>
  <c r="AH75" i="13"/>
  <c r="AK86" i="13"/>
  <c r="AM86" i="13" s="1"/>
  <c r="AP87" i="7"/>
  <c r="AR87" i="7" s="1"/>
  <c r="Y277" i="13"/>
  <c r="AK57" i="13"/>
  <c r="AM57" i="13" s="1"/>
  <c r="AP58" i="7"/>
  <c r="AR58" i="7" s="1"/>
  <c r="C31" i="15"/>
  <c r="E31" i="15" s="1"/>
  <c r="F31" i="15" s="1"/>
  <c r="G31" i="15" s="1"/>
  <c r="H31" i="15" s="1"/>
  <c r="N31" i="15" s="1"/>
  <c r="T18" i="14"/>
  <c r="AG273" i="7"/>
  <c r="AA290" i="7"/>
  <c r="Q15" i="13"/>
  <c r="S15" i="13" s="1"/>
  <c r="X15" i="13" s="1"/>
  <c r="AR61" i="8"/>
  <c r="AP61" i="8"/>
  <c r="AK185" i="13"/>
  <c r="AM185" i="13" s="1"/>
  <c r="AP186" i="7"/>
  <c r="AR186" i="7" s="1"/>
  <c r="AK46" i="13"/>
  <c r="AM46" i="13" s="1"/>
  <c r="AP47" i="7"/>
  <c r="AR47" i="7" s="1"/>
  <c r="Y281" i="13"/>
  <c r="AA281" i="13" s="1"/>
  <c r="AF281" i="13"/>
  <c r="AF144" i="13"/>
  <c r="Y144" i="13"/>
  <c r="AA144" i="13" s="1"/>
  <c r="U272" i="13"/>
  <c r="T290" i="7"/>
  <c r="A72" i="18" s="1"/>
  <c r="F72" i="18" s="1"/>
  <c r="Z273" i="7"/>
  <c r="AH281" i="13"/>
  <c r="AD34" i="9"/>
  <c r="AG34" i="9" s="1"/>
  <c r="AF34" i="9"/>
  <c r="Q15" i="9" s="1"/>
  <c r="E91" i="19" s="1"/>
  <c r="S174" i="13"/>
  <c r="X174" i="13" s="1"/>
  <c r="Z170" i="13"/>
  <c r="AK149" i="13"/>
  <c r="AM149" i="13" s="1"/>
  <c r="AP150" i="7"/>
  <c r="AR150" i="7" s="1"/>
  <c r="AK50" i="13"/>
  <c r="AM50" i="13" s="1"/>
  <c r="AP51" i="7"/>
  <c r="AR51" i="7" s="1"/>
  <c r="I71" i="18"/>
  <c r="K71" i="18" s="1"/>
  <c r="K17" i="18" s="1"/>
  <c r="Q55" i="19" s="1"/>
  <c r="Q20" i="13"/>
  <c r="Q240" i="13"/>
  <c r="S240" i="13" s="1"/>
  <c r="X240" i="13" s="1"/>
  <c r="AC239" i="13"/>
  <c r="AE239" i="13" s="1"/>
  <c r="AH240" i="7"/>
  <c r="AJ240" i="7" s="1"/>
  <c r="AC78" i="13"/>
  <c r="AE78" i="13" s="1"/>
  <c r="AH79" i="7"/>
  <c r="AJ79" i="7" s="1"/>
  <c r="Q9" i="13"/>
  <c r="S9" i="13" s="1"/>
  <c r="X9" i="13" s="1"/>
  <c r="Z130" i="13"/>
  <c r="L309" i="7"/>
  <c r="R292" i="7"/>
  <c r="R20" i="13"/>
  <c r="AC65" i="13"/>
  <c r="AE65" i="13" s="1"/>
  <c r="AH66" i="7"/>
  <c r="AJ66" i="7" s="1"/>
  <c r="AP225" i="13"/>
  <c r="AK199" i="13"/>
  <c r="AM199" i="13" s="1"/>
  <c r="AP200" i="7"/>
  <c r="AR200" i="7" s="1"/>
  <c r="Y193" i="13"/>
  <c r="AA193" i="13" s="1"/>
  <c r="AF193" i="13" s="1"/>
  <c r="R81" i="7"/>
  <c r="T64" i="7"/>
  <c r="Y209" i="13"/>
  <c r="AA209" i="13" s="1"/>
  <c r="AF209" i="13" s="1"/>
  <c r="Q66" i="13"/>
  <c r="S66" i="13" s="1"/>
  <c r="X66" i="13" s="1"/>
  <c r="AG187" i="13"/>
  <c r="AI187" i="13" s="1"/>
  <c r="AN187" i="13" s="1"/>
  <c r="AH187" i="13"/>
  <c r="N63" i="19"/>
  <c r="E78" i="18"/>
  <c r="U25" i="13"/>
  <c r="T43" i="7"/>
  <c r="A60" i="18" s="1"/>
  <c r="F60" i="18" s="1"/>
  <c r="Z26" i="7"/>
  <c r="P213" i="13"/>
  <c r="Q196" i="13"/>
  <c r="S196" i="13" s="1"/>
  <c r="S213" i="13" s="1"/>
  <c r="L34" i="12" s="1"/>
  <c r="N34" i="12" s="1"/>
  <c r="H14" i="12" s="1"/>
  <c r="K33" i="19" s="1"/>
  <c r="BW56" i="8"/>
  <c r="BS17" i="8"/>
  <c r="BU17" i="8" s="1"/>
  <c r="G112" i="19" s="1"/>
  <c r="AK39" i="13"/>
  <c r="AM39" i="13" s="1"/>
  <c r="AP40" i="7"/>
  <c r="AR40" i="7" s="1"/>
  <c r="AK94" i="13"/>
  <c r="AM94" i="13" s="1"/>
  <c r="AP95" i="7"/>
  <c r="AR95" i="7" s="1"/>
  <c r="Z32" i="9"/>
  <c r="N13" i="9" s="1"/>
  <c r="E70" i="19" s="1"/>
  <c r="X32" i="9"/>
  <c r="AA32" i="9" s="1"/>
  <c r="AS283" i="13"/>
  <c r="AU283" i="13" s="1"/>
  <c r="AX284" i="7"/>
  <c r="AK256" i="13"/>
  <c r="AM256" i="13" s="1"/>
  <c r="AP257" i="7"/>
  <c r="AR257" i="7" s="1"/>
  <c r="Z90" i="13"/>
  <c r="AS282" i="13"/>
  <c r="AU282" i="13" s="1"/>
  <c r="AX283" i="7"/>
  <c r="AS154" i="13"/>
  <c r="AU154" i="13" s="1"/>
  <c r="AX155" i="7"/>
  <c r="E18" i="25"/>
  <c r="AE93" i="19"/>
  <c r="AD31" i="9"/>
  <c r="AG31" i="9" s="1"/>
  <c r="Y95" i="13"/>
  <c r="AA95" i="13" s="1"/>
  <c r="AF95" i="13" s="1"/>
  <c r="AK49" i="13"/>
  <c r="AM49" i="13" s="1"/>
  <c r="AP50" i="7"/>
  <c r="AR50" i="7" s="1"/>
  <c r="Q70" i="13"/>
  <c r="S70" i="13" s="1"/>
  <c r="X70" i="13"/>
  <c r="Z70" i="13" s="1"/>
  <c r="Y168" i="13"/>
  <c r="AA168" i="13" s="1"/>
  <c r="AF168" i="13"/>
  <c r="Y55" i="13"/>
  <c r="AA55" i="13" s="1"/>
  <c r="AF55" i="13" s="1"/>
  <c r="Y278" i="13"/>
  <c r="AS202" i="13"/>
  <c r="AU202" i="13" s="1"/>
  <c r="AX203" i="7"/>
  <c r="Q236" i="13"/>
  <c r="Q7" i="13"/>
  <c r="S7" i="13" s="1"/>
  <c r="X7" i="13" s="1"/>
  <c r="S54" i="13"/>
  <c r="X54" i="13" s="1"/>
  <c r="AK170" i="13"/>
  <c r="AM170" i="13" s="1"/>
  <c r="AP171" i="7"/>
  <c r="AR171" i="7" s="1"/>
  <c r="Q72" i="13"/>
  <c r="S72" i="13" s="1"/>
  <c r="X72" i="13" s="1"/>
  <c r="AH269" i="13"/>
  <c r="AG89" i="13"/>
  <c r="AI89" i="13" s="1"/>
  <c r="AN89" i="13" s="1"/>
  <c r="Z16" i="13"/>
  <c r="U158" i="13"/>
  <c r="T176" i="7"/>
  <c r="A66" i="18" s="1"/>
  <c r="F66" i="18" s="1"/>
  <c r="I66" i="18" s="1"/>
  <c r="K66" i="18" s="1"/>
  <c r="K12" i="18" s="1"/>
  <c r="Q50" i="19" s="1"/>
  <c r="Z159" i="7"/>
  <c r="AA64" i="7"/>
  <c r="Y81" i="7"/>
  <c r="AK144" i="13"/>
  <c r="AM144" i="13" s="1"/>
  <c r="AP145" i="7"/>
  <c r="AR145" i="7" s="1"/>
  <c r="AG30" i="13"/>
  <c r="AI30" i="13" s="1"/>
  <c r="AN30" i="13"/>
  <c r="AH153" i="13"/>
  <c r="AK267" i="13"/>
  <c r="AM267" i="13" s="1"/>
  <c r="AP268" i="7"/>
  <c r="AR268" i="7" s="1"/>
  <c r="AK30" i="13"/>
  <c r="AM30" i="13" s="1"/>
  <c r="AP30" i="13" s="1"/>
  <c r="AP31" i="7"/>
  <c r="AR31" i="7" s="1"/>
  <c r="C55" i="18"/>
  <c r="AH231" i="13"/>
  <c r="AP93" i="13"/>
  <c r="AS210" i="13"/>
  <c r="AU210" i="13" s="1"/>
  <c r="AX211" i="7"/>
  <c r="Z242" i="13"/>
  <c r="P18" i="9"/>
  <c r="D94" i="19" s="1"/>
  <c r="Y79" i="13"/>
  <c r="AA79" i="13" s="1"/>
  <c r="AF79" i="13"/>
  <c r="Z244" i="13"/>
  <c r="Z277" i="13"/>
  <c r="R10" i="13"/>
  <c r="AF34" i="13"/>
  <c r="Y34" i="13"/>
  <c r="AA34" i="13" s="1"/>
  <c r="AC17" i="13"/>
  <c r="AE17" i="13" s="1"/>
  <c r="AH18" i="7"/>
  <c r="AJ18" i="7" s="1"/>
  <c r="Y180" i="13"/>
  <c r="AA180" i="13" s="1"/>
  <c r="AF180" i="13" s="1"/>
  <c r="AK171" i="13"/>
  <c r="AM171" i="13" s="1"/>
  <c r="AP172" i="7"/>
  <c r="AR172" i="7" s="1"/>
  <c r="AH183" i="13"/>
  <c r="AS187" i="13"/>
  <c r="AU187" i="13" s="1"/>
  <c r="AX188" i="7"/>
  <c r="AH27" i="13"/>
  <c r="Y271" i="7"/>
  <c r="AA254" i="7"/>
  <c r="Q122" i="13"/>
  <c r="S122" i="13" s="1"/>
  <c r="X122" i="13"/>
  <c r="Z278" i="13"/>
  <c r="AK38" i="13"/>
  <c r="AM38" i="13" s="1"/>
  <c r="AP39" i="7"/>
  <c r="AR39" i="7" s="1"/>
  <c r="Y13" i="13"/>
  <c r="E12" i="25"/>
  <c r="AE87" i="19"/>
  <c r="AH47" i="13"/>
  <c r="X14" i="23"/>
  <c r="AA83" i="7"/>
  <c r="Y100" i="7"/>
  <c r="AS89" i="13"/>
  <c r="AU89" i="13" s="1"/>
  <c r="AX90" i="7"/>
  <c r="R236" i="13"/>
  <c r="Q14" i="13"/>
  <c r="S14" i="13" s="1"/>
  <c r="X14" i="13"/>
  <c r="R72" i="13"/>
  <c r="Y229" i="13"/>
  <c r="AA229" i="13" s="1"/>
  <c r="AF229" i="13" s="1"/>
  <c r="AK88" i="13"/>
  <c r="AM88" i="13" s="1"/>
  <c r="AP89" i="7"/>
  <c r="AR89" i="7" s="1"/>
  <c r="R245" i="13"/>
  <c r="Y40" i="13"/>
  <c r="AA40" i="13" s="1"/>
  <c r="AF40" i="13"/>
  <c r="AS146" i="13"/>
  <c r="AU146" i="13" s="1"/>
  <c r="AX147" i="7"/>
  <c r="Z28" i="13"/>
  <c r="AK222" i="13"/>
  <c r="AM222" i="13" s="1"/>
  <c r="AP223" i="7"/>
  <c r="AR223" i="7" s="1"/>
  <c r="R69" i="13"/>
  <c r="Q238" i="13"/>
  <c r="S238" i="13" s="1"/>
  <c r="X238" i="13"/>
  <c r="Z238" i="13" s="1"/>
  <c r="Y36" i="13"/>
  <c r="AA36" i="13" s="1"/>
  <c r="AF36" i="13"/>
  <c r="AK181" i="13"/>
  <c r="AM181" i="13" s="1"/>
  <c r="AP182" i="7"/>
  <c r="AR182" i="7" s="1"/>
  <c r="Z237" i="13"/>
  <c r="Z13" i="13"/>
  <c r="AC38" i="19"/>
  <c r="AH212" i="13"/>
  <c r="P139" i="13"/>
  <c r="K156" i="13"/>
  <c r="F31" i="12" s="1"/>
  <c r="R249" i="13"/>
  <c r="AC248" i="13"/>
  <c r="AE248" i="13" s="1"/>
  <c r="AH249" i="7"/>
  <c r="AJ249" i="7" s="1"/>
  <c r="AC74" i="13"/>
  <c r="AE74" i="13" s="1"/>
  <c r="AH75" i="7"/>
  <c r="AJ75" i="7" s="1"/>
  <c r="Y148" i="13"/>
  <c r="AA148" i="13" s="1"/>
  <c r="AF148" i="13" s="1"/>
  <c r="AK198" i="13"/>
  <c r="AM198" i="13" s="1"/>
  <c r="AP199" i="7"/>
  <c r="AR199" i="7" s="1"/>
  <c r="AA212" i="13"/>
  <c r="AF212" i="13" s="1"/>
  <c r="Z14" i="13"/>
  <c r="E8" i="25"/>
  <c r="AE83" i="19"/>
  <c r="I60" i="18"/>
  <c r="K60" i="18" s="1"/>
  <c r="K6" i="18" s="1"/>
  <c r="Q44" i="19" s="1"/>
  <c r="AG197" i="7"/>
  <c r="AA214" i="7"/>
  <c r="AK174" i="13"/>
  <c r="AM174" i="13" s="1"/>
  <c r="AP175" i="7"/>
  <c r="AR175" i="7" s="1"/>
  <c r="AC79" i="13"/>
  <c r="AE79" i="13" s="1"/>
  <c r="AH79" i="13" s="1"/>
  <c r="AH80" i="7"/>
  <c r="AJ80" i="7" s="1"/>
  <c r="Z68" i="13"/>
  <c r="AK95" i="13"/>
  <c r="AM95" i="13" s="1"/>
  <c r="AP96" i="7"/>
  <c r="AR96" i="7" s="1"/>
  <c r="M137" i="13"/>
  <c r="O120" i="13"/>
  <c r="Z192" i="13"/>
  <c r="Z274" i="13"/>
  <c r="AF78" i="13"/>
  <c r="Y78" i="13"/>
  <c r="AA78" i="13" s="1"/>
  <c r="AC7" i="13"/>
  <c r="AE7" i="13" s="1"/>
  <c r="AH8" i="7"/>
  <c r="AJ8" i="7" s="1"/>
  <c r="AK190" i="13"/>
  <c r="AM190" i="13" s="1"/>
  <c r="AP191" i="7"/>
  <c r="AR191" i="7" s="1"/>
  <c r="AK188" i="13"/>
  <c r="AM188" i="13" s="1"/>
  <c r="AP189" i="7"/>
  <c r="AR189" i="7" s="1"/>
  <c r="AH287" i="13"/>
  <c r="AG172" i="13"/>
  <c r="AI172" i="13" s="1"/>
  <c r="AN172" i="13" s="1"/>
  <c r="AK132" i="13"/>
  <c r="AM132" i="13" s="1"/>
  <c r="AP133" i="7"/>
  <c r="AR133" i="7" s="1"/>
  <c r="Z57" i="13"/>
  <c r="AD29" i="9"/>
  <c r="AG29" i="9" s="1"/>
  <c r="Z60" i="13"/>
  <c r="Z33" i="13"/>
  <c r="Z247" i="13"/>
  <c r="AG48" i="13"/>
  <c r="AI48" i="13" s="1"/>
  <c r="AN48" i="13" s="1"/>
  <c r="Z18" i="13"/>
  <c r="AC240" i="13"/>
  <c r="AE240" i="13" s="1"/>
  <c r="AH241" i="7"/>
  <c r="AJ241" i="7" s="1"/>
  <c r="AK51" i="13"/>
  <c r="AM51" i="13" s="1"/>
  <c r="AP52" i="7"/>
  <c r="AR52" i="7" s="1"/>
  <c r="S166" i="13"/>
  <c r="X166" i="13" s="1"/>
  <c r="Q27" i="15"/>
  <c r="M64" i="14"/>
  <c r="Q64" i="14" s="1"/>
  <c r="K23" i="13"/>
  <c r="F25" i="12" s="1"/>
  <c r="AK218" i="13"/>
  <c r="AM218" i="13" s="1"/>
  <c r="AP219" i="7"/>
  <c r="AR219" i="7" s="1"/>
  <c r="O156" i="13"/>
  <c r="R139" i="13"/>
  <c r="R156" i="13" s="1"/>
  <c r="AK276" i="13"/>
  <c r="AM276" i="13" s="1"/>
  <c r="AP277" i="7"/>
  <c r="AR277" i="7" s="1"/>
  <c r="R123" i="13"/>
  <c r="AC47" i="19"/>
  <c r="AC57" i="19" s="1"/>
  <c r="AV45" i="16"/>
  <c r="C63" i="18" s="1"/>
  <c r="AA280" i="13"/>
  <c r="AF280" i="13" s="1"/>
  <c r="AG201" i="13"/>
  <c r="AI201" i="13" s="1"/>
  <c r="AN201" i="13" s="1"/>
  <c r="AA199" i="13"/>
  <c r="AF199" i="13" s="1"/>
  <c r="AA92" i="13"/>
  <c r="AF92" i="13" s="1"/>
  <c r="AH92" i="13" s="1"/>
  <c r="AA224" i="13"/>
  <c r="AF224" i="13" s="1"/>
  <c r="AA198" i="13"/>
  <c r="AF198" i="13" s="1"/>
  <c r="AA184" i="13"/>
  <c r="AF184" i="13" s="1"/>
  <c r="AA53" i="13"/>
  <c r="AF53" i="13" s="1"/>
  <c r="AI182" i="13" l="1"/>
  <c r="AN182" i="13" s="1"/>
  <c r="AG55" i="13"/>
  <c r="AI55" i="13" s="1"/>
  <c r="AN55" i="13" s="1"/>
  <c r="AH55" i="13"/>
  <c r="AO187" i="13"/>
  <c r="AP187" i="13"/>
  <c r="Y240" i="13"/>
  <c r="Z240" i="13"/>
  <c r="AG148" i="13"/>
  <c r="AH148" i="13"/>
  <c r="AG180" i="13"/>
  <c r="AH180" i="13"/>
  <c r="AO89" i="13"/>
  <c r="AQ89" i="13" s="1"/>
  <c r="AV89" i="13" s="1"/>
  <c r="AP89" i="13"/>
  <c r="Y66" i="13"/>
  <c r="Z66" i="13"/>
  <c r="AG193" i="13"/>
  <c r="AH193" i="13"/>
  <c r="Y15" i="13"/>
  <c r="AA15" i="13" s="1"/>
  <c r="AF15" i="13" s="1"/>
  <c r="Z15" i="13"/>
  <c r="AG150" i="13"/>
  <c r="AI150" i="13" s="1"/>
  <c r="AN150" i="13" s="1"/>
  <c r="AH150" i="13"/>
  <c r="E37" i="25"/>
  <c r="AE112" i="19"/>
  <c r="AG211" i="13"/>
  <c r="AH211" i="13"/>
  <c r="AG263" i="13"/>
  <c r="AI263" i="13" s="1"/>
  <c r="AN263" i="13" s="1"/>
  <c r="AH263" i="13"/>
  <c r="AG29" i="13"/>
  <c r="AH29" i="13"/>
  <c r="AG59" i="13"/>
  <c r="AI59" i="13" s="1"/>
  <c r="AN59" i="13"/>
  <c r="AH59" i="13"/>
  <c r="AG39" i="13"/>
  <c r="AH39" i="13"/>
  <c r="AG173" i="13"/>
  <c r="AH173" i="13"/>
  <c r="E10" i="25"/>
  <c r="AE85" i="19"/>
  <c r="AG84" i="13"/>
  <c r="AH84" i="13"/>
  <c r="AG159" i="13"/>
  <c r="AI159" i="13" s="1"/>
  <c r="AN159" i="13" s="1"/>
  <c r="AH159" i="13"/>
  <c r="AO48" i="13"/>
  <c r="AG229" i="13"/>
  <c r="AH229" i="13"/>
  <c r="Y246" i="13"/>
  <c r="Z246" i="13"/>
  <c r="E29" i="25"/>
  <c r="AE104" i="19"/>
  <c r="AG155" i="13"/>
  <c r="AI155" i="13" s="1"/>
  <c r="AN155" i="13" s="1"/>
  <c r="AH155" i="13"/>
  <c r="AG265" i="13"/>
  <c r="AH265" i="13"/>
  <c r="AG143" i="13"/>
  <c r="AH143" i="13"/>
  <c r="Y121" i="13"/>
  <c r="AA121" i="13" s="1"/>
  <c r="AF121" i="13" s="1"/>
  <c r="Z121" i="13"/>
  <c r="AG51" i="13"/>
  <c r="AI51" i="13" s="1"/>
  <c r="AN51" i="13" s="1"/>
  <c r="AH51" i="13"/>
  <c r="AG222" i="13"/>
  <c r="AH222" i="13"/>
  <c r="AG49" i="13"/>
  <c r="AH49" i="13"/>
  <c r="AG254" i="13"/>
  <c r="AI254" i="13" s="1"/>
  <c r="AN254" i="13" s="1"/>
  <c r="AH254" i="13"/>
  <c r="AO172" i="13"/>
  <c r="AG209" i="13"/>
  <c r="AI209" i="13" s="1"/>
  <c r="AN209" i="13" s="1"/>
  <c r="AH209" i="13"/>
  <c r="Y72" i="13"/>
  <c r="AA72" i="13" s="1"/>
  <c r="AF72" i="13"/>
  <c r="Z72" i="13"/>
  <c r="Y7" i="13"/>
  <c r="Z7" i="13"/>
  <c r="AG95" i="13"/>
  <c r="AI95" i="13" s="1"/>
  <c r="AN95" i="13" s="1"/>
  <c r="AH95" i="13"/>
  <c r="Y9" i="13"/>
  <c r="Z9" i="13"/>
  <c r="E27" i="25"/>
  <c r="AE102" i="19"/>
  <c r="Y76" i="13"/>
  <c r="Z76" i="13"/>
  <c r="Y133" i="13"/>
  <c r="Z133" i="13"/>
  <c r="AO216" i="13"/>
  <c r="AQ216" i="13" s="1"/>
  <c r="AV216" i="13"/>
  <c r="AW216" i="13" s="1"/>
  <c r="AP216" i="13"/>
  <c r="AG165" i="13"/>
  <c r="AH165" i="13"/>
  <c r="BP59" i="8"/>
  <c r="BH59" i="8"/>
  <c r="BJ59" i="8" s="1"/>
  <c r="AO182" i="13"/>
  <c r="AQ182" i="13" s="1"/>
  <c r="AV182" i="13" s="1"/>
  <c r="AP182" i="13"/>
  <c r="AG210" i="13"/>
  <c r="AI210" i="13" s="1"/>
  <c r="AN210" i="13"/>
  <c r="AH210" i="13"/>
  <c r="AG260" i="13"/>
  <c r="AI260" i="13" s="1"/>
  <c r="AN260" i="13" s="1"/>
  <c r="AH260" i="13"/>
  <c r="AG203" i="13"/>
  <c r="AI203" i="13" s="1"/>
  <c r="AN203" i="13" s="1"/>
  <c r="AH203" i="13"/>
  <c r="AG227" i="13"/>
  <c r="AH227" i="13"/>
  <c r="AG145" i="13"/>
  <c r="AI145" i="13" s="1"/>
  <c r="AN145" i="13" s="1"/>
  <c r="AH145" i="13"/>
  <c r="AO96" i="13"/>
  <c r="AG248" i="13"/>
  <c r="AG128" i="13"/>
  <c r="AG256" i="13"/>
  <c r="AH256" i="13"/>
  <c r="AO146" i="13"/>
  <c r="AP146" i="13"/>
  <c r="AG169" i="13"/>
  <c r="AI169" i="13" s="1"/>
  <c r="AN169" i="13"/>
  <c r="AH169" i="13"/>
  <c r="BS16" i="8"/>
  <c r="BU16" i="8" s="1"/>
  <c r="G111" i="19" s="1"/>
  <c r="V111" i="19" s="1"/>
  <c r="BW55" i="8"/>
  <c r="AG86" i="13"/>
  <c r="AH86" i="13"/>
  <c r="AG141" i="13"/>
  <c r="AI141" i="13" s="1"/>
  <c r="AN141" i="13" s="1"/>
  <c r="AH141" i="13"/>
  <c r="Y71" i="13"/>
  <c r="AA71" i="13" s="1"/>
  <c r="AF71" i="13" s="1"/>
  <c r="Z71" i="13"/>
  <c r="AG273" i="13"/>
  <c r="AI273" i="13" s="1"/>
  <c r="AN273" i="13" s="1"/>
  <c r="AH273" i="13"/>
  <c r="AO154" i="13"/>
  <c r="AP154" i="13"/>
  <c r="AO286" i="13"/>
  <c r="AQ286" i="13" s="1"/>
  <c r="AV286" i="13" s="1"/>
  <c r="AP286" i="13"/>
  <c r="AG266" i="13"/>
  <c r="AI266" i="13" s="1"/>
  <c r="AN266" i="13" s="1"/>
  <c r="AH266" i="13"/>
  <c r="AG53" i="13"/>
  <c r="AG280" i="13"/>
  <c r="AS218" i="13"/>
  <c r="AU218" i="13" s="1"/>
  <c r="AX219" i="7"/>
  <c r="AS95" i="13"/>
  <c r="AU95" i="13" s="1"/>
  <c r="AX96" i="7"/>
  <c r="H31" i="12"/>
  <c r="E11" i="12" s="1"/>
  <c r="K11" i="19" s="1"/>
  <c r="F29" i="8"/>
  <c r="G29" i="8" s="1"/>
  <c r="AS181" i="13"/>
  <c r="AU181" i="13" s="1"/>
  <c r="AX182" i="7"/>
  <c r="AG40" i="13"/>
  <c r="AF14" i="13"/>
  <c r="Y14" i="13"/>
  <c r="AA14" i="13" s="1"/>
  <c r="Y122" i="13"/>
  <c r="AG34" i="13"/>
  <c r="AS256" i="13"/>
  <c r="AU256" i="13" s="1"/>
  <c r="AX257" i="7"/>
  <c r="AS199" i="13"/>
  <c r="AU199" i="13" s="1"/>
  <c r="AX200" i="7"/>
  <c r="AG184" i="13"/>
  <c r="AG199" i="13"/>
  <c r="Y166" i="13"/>
  <c r="AA166" i="13" s="1"/>
  <c r="AF166" i="13" s="1"/>
  <c r="Z166" i="13"/>
  <c r="AS132" i="13"/>
  <c r="AU132" i="13" s="1"/>
  <c r="AX133" i="7"/>
  <c r="AK7" i="13"/>
  <c r="AM7" i="13" s="1"/>
  <c r="AP8" i="7"/>
  <c r="AR8" i="7" s="1"/>
  <c r="AK79" i="13"/>
  <c r="AM79" i="13" s="1"/>
  <c r="AP80" i="7"/>
  <c r="AR80" i="7" s="1"/>
  <c r="AH248" i="13"/>
  <c r="P156" i="13"/>
  <c r="Q139" i="13"/>
  <c r="S139" i="13" s="1"/>
  <c r="S156" i="13" s="1"/>
  <c r="L31" i="12" s="1"/>
  <c r="N31" i="12" s="1"/>
  <c r="H11" i="12" s="1"/>
  <c r="K30" i="19" s="1"/>
  <c r="AS38" i="13"/>
  <c r="AU38" i="13" s="1"/>
  <c r="AX39" i="7"/>
  <c r="AS171" i="13"/>
  <c r="AU171" i="13" s="1"/>
  <c r="AX172" i="7"/>
  <c r="AK17" i="13"/>
  <c r="AM17" i="13" s="1"/>
  <c r="AP18" i="7"/>
  <c r="AR18" i="7" s="1"/>
  <c r="AS267" i="13"/>
  <c r="AU267" i="13" s="1"/>
  <c r="AX268" i="7"/>
  <c r="AA81" i="7"/>
  <c r="AG64" i="7"/>
  <c r="AD32" i="9"/>
  <c r="AG32" i="9" s="1"/>
  <c r="AS39" i="13"/>
  <c r="AU39" i="13" s="1"/>
  <c r="AX40" i="7"/>
  <c r="X196" i="13"/>
  <c r="T292" i="7"/>
  <c r="R309" i="7"/>
  <c r="AS149" i="13"/>
  <c r="AU149" i="13" s="1"/>
  <c r="AX150" i="7"/>
  <c r="AB273" i="7"/>
  <c r="Z290" i="7"/>
  <c r="AS57" i="8"/>
  <c r="AS57" i="13"/>
  <c r="AU57" i="13" s="1"/>
  <c r="AX58" i="7"/>
  <c r="AG167" i="13"/>
  <c r="AG276" i="13"/>
  <c r="AK18" i="13"/>
  <c r="AM18" i="13" s="1"/>
  <c r="AP19" i="7"/>
  <c r="AR19" i="7" s="1"/>
  <c r="AA56" i="13"/>
  <c r="AF56" i="13" s="1"/>
  <c r="AS207" i="13"/>
  <c r="AU207" i="13" s="1"/>
  <c r="AX208" i="7"/>
  <c r="AS278" i="13"/>
  <c r="AU278" i="13" s="1"/>
  <c r="AX279" i="7"/>
  <c r="AS58" i="13"/>
  <c r="AU58" i="13" s="1"/>
  <c r="AX59" i="7"/>
  <c r="AH14" i="13"/>
  <c r="AP172" i="13"/>
  <c r="AH128" i="13"/>
  <c r="AK13" i="13"/>
  <c r="AM13" i="13" s="1"/>
  <c r="AP14" i="7"/>
  <c r="AR14" i="7" s="1"/>
  <c r="AL30" i="9"/>
  <c r="T11" i="9" s="1"/>
  <c r="E106" i="19" s="1"/>
  <c r="AJ30" i="9"/>
  <c r="AV54" i="16"/>
  <c r="AS47" i="13"/>
  <c r="AU47" i="13" s="1"/>
  <c r="AX48" i="7"/>
  <c r="O24" i="9"/>
  <c r="AS27" i="13"/>
  <c r="AU27" i="13" s="1"/>
  <c r="AX28" i="7"/>
  <c r="AF38" i="9"/>
  <c r="AD38" i="9"/>
  <c r="AG38" i="9" s="1"/>
  <c r="AK244" i="13"/>
  <c r="AM244" i="13" s="1"/>
  <c r="AP245" i="7"/>
  <c r="AR245" i="7" s="1"/>
  <c r="AL39" i="9"/>
  <c r="AJ39" i="9"/>
  <c r="T35" i="9"/>
  <c r="K16" i="9" s="1"/>
  <c r="E54" i="19" s="1"/>
  <c r="AF40" i="9"/>
  <c r="AD40" i="9"/>
  <c r="AG40" i="9" s="1"/>
  <c r="AS223" i="13"/>
  <c r="AU223" i="13" s="1"/>
  <c r="AX224" i="7"/>
  <c r="U156" i="13"/>
  <c r="W139" i="13"/>
  <c r="P61" i="13"/>
  <c r="Q44" i="13"/>
  <c r="AS193" i="13"/>
  <c r="AU193" i="13" s="1"/>
  <c r="AX194" i="7"/>
  <c r="S249" i="13"/>
  <c r="X249" i="13" s="1"/>
  <c r="AS281" i="13"/>
  <c r="AU281" i="13" s="1"/>
  <c r="AX282" i="7"/>
  <c r="U213" i="13"/>
  <c r="W196" i="13"/>
  <c r="AS255" i="13"/>
  <c r="AU255" i="13" s="1"/>
  <c r="AX256" i="7"/>
  <c r="Z36" i="9"/>
  <c r="N17" i="9" s="1"/>
  <c r="E74" i="19" s="1"/>
  <c r="K41" i="18"/>
  <c r="AG219" i="13"/>
  <c r="AI219" i="13" s="1"/>
  <c r="AN219" i="13"/>
  <c r="AF124" i="13"/>
  <c r="Y124" i="13"/>
  <c r="AA124" i="13" s="1"/>
  <c r="Y126" i="13"/>
  <c r="Z126" i="13"/>
  <c r="Y46" i="14"/>
  <c r="AS275" i="13"/>
  <c r="AU275" i="13" s="1"/>
  <c r="AX276" i="7"/>
  <c r="W215" i="13"/>
  <c r="U232" i="13"/>
  <c r="AA244" i="13"/>
  <c r="AF244" i="13" s="1"/>
  <c r="S77" i="13"/>
  <c r="X77" i="13" s="1"/>
  <c r="AS31" i="13"/>
  <c r="AU31" i="13" s="1"/>
  <c r="AX32" i="7"/>
  <c r="AA142" i="13"/>
  <c r="AF142" i="13" s="1"/>
  <c r="AC5" i="19"/>
  <c r="AC19" i="19" s="1"/>
  <c r="AR18" i="16"/>
  <c r="D16" i="23" s="1"/>
  <c r="AG45" i="7"/>
  <c r="AA62" i="7"/>
  <c r="AK22" i="13"/>
  <c r="AM22" i="13" s="1"/>
  <c r="AP23" i="7"/>
  <c r="AR23" i="7" s="1"/>
  <c r="K80" i="13"/>
  <c r="F28" i="12" s="1"/>
  <c r="P63" i="13"/>
  <c r="AK124" i="13"/>
  <c r="AM124" i="13" s="1"/>
  <c r="AP125" i="7"/>
  <c r="AR125" i="7" s="1"/>
  <c r="U63" i="9"/>
  <c r="X46" i="9"/>
  <c r="Z46" i="9" s="1"/>
  <c r="AK131" i="13"/>
  <c r="AM131" i="13" s="1"/>
  <c r="AP132" i="7"/>
  <c r="AR132" i="7" s="1"/>
  <c r="AS173" i="13"/>
  <c r="AU173" i="13" s="1"/>
  <c r="AX174" i="7"/>
  <c r="W82" i="13"/>
  <c r="U99" i="13"/>
  <c r="AK19" i="13"/>
  <c r="AM19" i="13" s="1"/>
  <c r="AP20" i="7"/>
  <c r="AR20" i="7" s="1"/>
  <c r="K251" i="13"/>
  <c r="F36" i="12" s="1"/>
  <c r="P234" i="13"/>
  <c r="AA230" i="13"/>
  <c r="AF230" i="13" s="1"/>
  <c r="AG83" i="13"/>
  <c r="AI83" i="13" s="1"/>
  <c r="AN83" i="13" s="1"/>
  <c r="AS266" i="13"/>
  <c r="AU266" i="13" s="1"/>
  <c r="AX267" i="7"/>
  <c r="AS52" i="13"/>
  <c r="AU52" i="13" s="1"/>
  <c r="AX53" i="7"/>
  <c r="Y140" i="13"/>
  <c r="AA140" i="13" s="1"/>
  <c r="AF140" i="13" s="1"/>
  <c r="Z140" i="13"/>
  <c r="AK250" i="13"/>
  <c r="AM250" i="13" s="1"/>
  <c r="AP251" i="7"/>
  <c r="AR251" i="7" s="1"/>
  <c r="AK236" i="13"/>
  <c r="AM236" i="13" s="1"/>
  <c r="AP237" i="7"/>
  <c r="AR237" i="7" s="1"/>
  <c r="AK246" i="13"/>
  <c r="AM246" i="13" s="1"/>
  <c r="AP247" i="7"/>
  <c r="AR247" i="7" s="1"/>
  <c r="AK134" i="13"/>
  <c r="AM134" i="13" s="1"/>
  <c r="AP135" i="7"/>
  <c r="AR135" i="7" s="1"/>
  <c r="AS54" i="13"/>
  <c r="AU54" i="13" s="1"/>
  <c r="AX55" i="7"/>
  <c r="G62" i="19"/>
  <c r="AK8" i="13"/>
  <c r="AM8" i="13" s="1"/>
  <c r="AP9" i="7"/>
  <c r="AR9" i="7" s="1"/>
  <c r="AK126" i="13"/>
  <c r="AM126" i="13" s="1"/>
  <c r="AP127" i="7"/>
  <c r="AR127" i="7" s="1"/>
  <c r="R44" i="13"/>
  <c r="R61" i="13" s="1"/>
  <c r="AS90" i="13"/>
  <c r="AU90" i="13" s="1"/>
  <c r="AX91" i="7"/>
  <c r="AK129" i="13"/>
  <c r="AM129" i="13" s="1"/>
  <c r="AP130" i="7"/>
  <c r="AR130" i="7" s="1"/>
  <c r="AS217" i="13"/>
  <c r="AU217" i="13" s="1"/>
  <c r="AX218" i="7"/>
  <c r="P289" i="13"/>
  <c r="Q272" i="13"/>
  <c r="S272" i="13" s="1"/>
  <c r="S289" i="13" s="1"/>
  <c r="L38" i="12" s="1"/>
  <c r="O251" i="13"/>
  <c r="R234" i="13"/>
  <c r="R251" i="13" s="1"/>
  <c r="H33" i="12"/>
  <c r="E13" i="12" s="1"/>
  <c r="K13" i="19" s="1"/>
  <c r="F31" i="8"/>
  <c r="G31" i="8" s="1"/>
  <c r="Z271" i="7"/>
  <c r="AB254" i="7"/>
  <c r="P42" i="13"/>
  <c r="Q25" i="13"/>
  <c r="S25" i="13" s="1"/>
  <c r="S42" i="13" s="1"/>
  <c r="L26" i="12" s="1"/>
  <c r="N26" i="12" s="1"/>
  <c r="H6" i="12" s="1"/>
  <c r="K25" i="19" s="1"/>
  <c r="AS169" i="13"/>
  <c r="AU169" i="13" s="1"/>
  <c r="AX170" i="7"/>
  <c r="AS227" i="13"/>
  <c r="AU227" i="13" s="1"/>
  <c r="AX228" i="7"/>
  <c r="AS265" i="13"/>
  <c r="AU265" i="13" s="1"/>
  <c r="AX266" i="7"/>
  <c r="AK121" i="13"/>
  <c r="AM121" i="13" s="1"/>
  <c r="AP122" i="7"/>
  <c r="AR122" i="7" s="1"/>
  <c r="AK67" i="13"/>
  <c r="AM67" i="13" s="1"/>
  <c r="AP68" i="7"/>
  <c r="AR68" i="7" s="1"/>
  <c r="N101" i="19"/>
  <c r="E114" i="18"/>
  <c r="O80" i="13"/>
  <c r="R63" i="13"/>
  <c r="R80" i="13" s="1"/>
  <c r="AK71" i="13"/>
  <c r="AM71" i="13" s="1"/>
  <c r="AP72" i="7"/>
  <c r="AR72" i="7" s="1"/>
  <c r="AS147" i="13"/>
  <c r="AU147" i="13" s="1"/>
  <c r="AX148" i="7"/>
  <c r="S69" i="13"/>
  <c r="X69" i="13" s="1"/>
  <c r="Z62" i="7"/>
  <c r="AB45" i="7"/>
  <c r="AS168" i="13"/>
  <c r="AU168" i="13" s="1"/>
  <c r="AX169" i="7"/>
  <c r="C33" i="9"/>
  <c r="H29" i="3"/>
  <c r="O30" i="15"/>
  <c r="T29" i="14"/>
  <c r="Y29" i="14" s="1"/>
  <c r="E33" i="25"/>
  <c r="AE108" i="19"/>
  <c r="AS83" i="13"/>
  <c r="AU83" i="13" s="1"/>
  <c r="AX84" i="7"/>
  <c r="AS163" i="13"/>
  <c r="AU163" i="13" s="1"/>
  <c r="AX164" i="7"/>
  <c r="S243" i="13"/>
  <c r="X243" i="13" s="1"/>
  <c r="AS264" i="13"/>
  <c r="AU264" i="13" s="1"/>
  <c r="AX265" i="7"/>
  <c r="V110" i="19"/>
  <c r="AI98" i="13"/>
  <c r="AN98" i="13" s="1"/>
  <c r="AI200" i="13"/>
  <c r="AN200" i="13" s="1"/>
  <c r="AP200" i="13" s="1"/>
  <c r="AI147" i="13"/>
  <c r="AN147" i="13" s="1"/>
  <c r="AI221" i="13"/>
  <c r="AN221" i="13" s="1"/>
  <c r="AA21" i="13"/>
  <c r="AF21" i="13" s="1"/>
  <c r="AA151" i="13"/>
  <c r="AF151" i="13" s="1"/>
  <c r="AI47" i="13"/>
  <c r="AN47" i="13" s="1"/>
  <c r="AG198" i="13"/>
  <c r="H25" i="12"/>
  <c r="E5" i="12" s="1"/>
  <c r="F39" i="12"/>
  <c r="H39" i="12" s="1"/>
  <c r="F23" i="8"/>
  <c r="AL29" i="9"/>
  <c r="T10" i="9" s="1"/>
  <c r="E105" i="19" s="1"/>
  <c r="AJ29" i="9"/>
  <c r="O137" i="13"/>
  <c r="R120" i="13"/>
  <c r="R137" i="13" s="1"/>
  <c r="AK74" i="13"/>
  <c r="AM74" i="13" s="1"/>
  <c r="AP75" i="7"/>
  <c r="AR75" i="7" s="1"/>
  <c r="AG36" i="13"/>
  <c r="AH280" i="13"/>
  <c r="AB159" i="7"/>
  <c r="Z176" i="7"/>
  <c r="Y54" i="13"/>
  <c r="AA54" i="13" s="1"/>
  <c r="AF54" i="13" s="1"/>
  <c r="Z54" i="13"/>
  <c r="AS49" i="13"/>
  <c r="AU49" i="13" s="1"/>
  <c r="AX50" i="7"/>
  <c r="AK65" i="13"/>
  <c r="AM65" i="13" s="1"/>
  <c r="AP66" i="7"/>
  <c r="AR66" i="7" s="1"/>
  <c r="AK78" i="13"/>
  <c r="AM78" i="13" s="1"/>
  <c r="AP79" i="7"/>
  <c r="AR79" i="7" s="1"/>
  <c r="AG144" i="13"/>
  <c r="AS46" i="13"/>
  <c r="AU46" i="13" s="1"/>
  <c r="AX47" i="7"/>
  <c r="AA277" i="13"/>
  <c r="AF277" i="13" s="1"/>
  <c r="AG58" i="13"/>
  <c r="AI58" i="13" s="1"/>
  <c r="AN58" i="13" s="1"/>
  <c r="AG162" i="13"/>
  <c r="AG259" i="13"/>
  <c r="AH259" i="13"/>
  <c r="S6" i="13"/>
  <c r="AS84" i="13"/>
  <c r="AU84" i="13" s="1"/>
  <c r="AX85" i="7"/>
  <c r="AG132" i="13"/>
  <c r="AI132" i="13" s="1"/>
  <c r="AN132" i="13"/>
  <c r="AS55" i="13"/>
  <c r="AU55" i="13" s="1"/>
  <c r="AX56" i="7"/>
  <c r="AS166" i="13"/>
  <c r="AU166" i="13" s="1"/>
  <c r="AX167" i="7"/>
  <c r="AS212" i="13"/>
  <c r="AU212" i="13" s="1"/>
  <c r="AX213" i="7"/>
  <c r="AK73" i="13"/>
  <c r="AM73" i="13" s="1"/>
  <c r="AP74" i="7"/>
  <c r="AR74" i="7" s="1"/>
  <c r="C73" i="18"/>
  <c r="AP47" i="13"/>
  <c r="E31" i="25"/>
  <c r="AE106" i="19"/>
  <c r="S123" i="13"/>
  <c r="X123" i="13" s="1"/>
  <c r="AA197" i="13"/>
  <c r="AF197" i="13" s="1"/>
  <c r="AH244" i="13"/>
  <c r="X35" i="9"/>
  <c r="AA35" i="9" s="1"/>
  <c r="AS231" i="13"/>
  <c r="AU231" i="13" s="1"/>
  <c r="AX232" i="7"/>
  <c r="AA157" i="7"/>
  <c r="AG140" i="7"/>
  <c r="H27" i="12"/>
  <c r="E7" i="12" s="1"/>
  <c r="K7" i="19" s="1"/>
  <c r="F25" i="8"/>
  <c r="G25" i="8" s="1"/>
  <c r="AS59" i="13"/>
  <c r="AU59" i="13" s="1"/>
  <c r="AX60" i="7"/>
  <c r="Y152" i="13"/>
  <c r="Z152" i="13"/>
  <c r="AG252" i="7"/>
  <c r="AI235" i="7"/>
  <c r="H127" i="18"/>
  <c r="AI183" i="13"/>
  <c r="AN183" i="13" s="1"/>
  <c r="Y22" i="13"/>
  <c r="AS235" i="13"/>
  <c r="AU235" i="13" s="1"/>
  <c r="AX236" i="7"/>
  <c r="Y129" i="13"/>
  <c r="AK9" i="13"/>
  <c r="AM9" i="13" s="1"/>
  <c r="AP10" i="7"/>
  <c r="AR10" i="7" s="1"/>
  <c r="AG269" i="13"/>
  <c r="AI269" i="13" s="1"/>
  <c r="AN269" i="13" s="1"/>
  <c r="AK125" i="13"/>
  <c r="AM125" i="13" s="1"/>
  <c r="AP126" i="7"/>
  <c r="AR126" i="7" s="1"/>
  <c r="AS186" i="13"/>
  <c r="AU186" i="13" s="1"/>
  <c r="AX187" i="7"/>
  <c r="AS262" i="13"/>
  <c r="AU262" i="13" s="1"/>
  <c r="AX263" i="7"/>
  <c r="AS34" i="13"/>
  <c r="AU34" i="13" s="1"/>
  <c r="AX35" i="7"/>
  <c r="AS192" i="13"/>
  <c r="AU192" i="13" s="1"/>
  <c r="AX193" i="7"/>
  <c r="AG27" i="13"/>
  <c r="AI27" i="13" s="1"/>
  <c r="AN27" i="13" s="1"/>
  <c r="X270" i="13"/>
  <c r="AG7" i="7"/>
  <c r="AA24" i="7"/>
  <c r="Q120" i="13"/>
  <c r="S120" i="13" s="1"/>
  <c r="AO178" i="13"/>
  <c r="AQ178" i="13" s="1"/>
  <c r="AV178" i="13" s="1"/>
  <c r="AK69" i="13"/>
  <c r="AM69" i="13" s="1"/>
  <c r="AP70" i="7"/>
  <c r="AR70" i="7" s="1"/>
  <c r="Q100" i="14"/>
  <c r="Q28" i="15"/>
  <c r="M65" i="14"/>
  <c r="Q65" i="14" s="1"/>
  <c r="AO284" i="13"/>
  <c r="AQ284" i="13" s="1"/>
  <c r="AV284" i="13" s="1"/>
  <c r="AS224" i="13"/>
  <c r="AU224" i="13" s="1"/>
  <c r="AX225" i="7"/>
  <c r="AS184" i="13"/>
  <c r="AU184" i="13" s="1"/>
  <c r="AX185" i="7"/>
  <c r="Y65" i="13"/>
  <c r="AA65" i="13" s="1"/>
  <c r="AF65" i="13" s="1"/>
  <c r="AG195" i="7"/>
  <c r="AI178" i="7"/>
  <c r="P99" i="13"/>
  <c r="Q82" i="13"/>
  <c r="S82" i="13" s="1"/>
  <c r="S99" i="13" s="1"/>
  <c r="L29" i="12" s="1"/>
  <c r="N29" i="12" s="1"/>
  <c r="H9" i="12" s="1"/>
  <c r="K28" i="19" s="1"/>
  <c r="AA33" i="13"/>
  <c r="AF33" i="13" s="1"/>
  <c r="AO288" i="13"/>
  <c r="AQ288" i="13" s="1"/>
  <c r="AV288" i="13" s="1"/>
  <c r="AG217" i="13"/>
  <c r="S127" i="13"/>
  <c r="X127" i="13" s="1"/>
  <c r="AH124" i="13"/>
  <c r="AO93" i="13"/>
  <c r="AQ93" i="13" s="1"/>
  <c r="AV93" i="13" s="1"/>
  <c r="Y135" i="13"/>
  <c r="AA135" i="13" s="1"/>
  <c r="AF135" i="13" s="1"/>
  <c r="AK135" i="13"/>
  <c r="AM135" i="13" s="1"/>
  <c r="AP136" i="7"/>
  <c r="AR136" i="7" s="1"/>
  <c r="Y223" i="13"/>
  <c r="Z223" i="13"/>
  <c r="AA170" i="13"/>
  <c r="AF170" i="13" s="1"/>
  <c r="AA90" i="13"/>
  <c r="AF90" i="13" s="1"/>
  <c r="AO282" i="13"/>
  <c r="AG204" i="13"/>
  <c r="AI204" i="13" s="1"/>
  <c r="AN204" i="13" s="1"/>
  <c r="AS28" i="13"/>
  <c r="AU28" i="13" s="1"/>
  <c r="AX29" i="7"/>
  <c r="Y309" i="7"/>
  <c r="AA292" i="7"/>
  <c r="Y68" i="13"/>
  <c r="AA68" i="13" s="1"/>
  <c r="AF68" i="13" s="1"/>
  <c r="AG97" i="13"/>
  <c r="AI97" i="13" s="1"/>
  <c r="AN97" i="13" s="1"/>
  <c r="AH97" i="13"/>
  <c r="AK77" i="13"/>
  <c r="AM77" i="13" s="1"/>
  <c r="AP78" i="7"/>
  <c r="AR78" i="7" s="1"/>
  <c r="AS45" i="13"/>
  <c r="AU45" i="13" s="1"/>
  <c r="AX46" i="7"/>
  <c r="AS143" i="13"/>
  <c r="AU143" i="13" s="1"/>
  <c r="AX144" i="7"/>
  <c r="Y67" i="13"/>
  <c r="AA67" i="13" s="1"/>
  <c r="AF67" i="13"/>
  <c r="AH67" i="13" s="1"/>
  <c r="N27" i="19"/>
  <c r="E44" i="18"/>
  <c r="P175" i="13"/>
  <c r="Q158" i="13"/>
  <c r="S158" i="13" s="1"/>
  <c r="S175" i="13" s="1"/>
  <c r="L32" i="12" s="1"/>
  <c r="N32" i="12" s="1"/>
  <c r="H12" i="12" s="1"/>
  <c r="K31" i="19" s="1"/>
  <c r="H38" i="12"/>
  <c r="E18" i="12" s="1"/>
  <c r="K18" i="19" s="1"/>
  <c r="F39" i="8"/>
  <c r="G39" i="8" s="1"/>
  <c r="F38" i="8"/>
  <c r="G38" i="8" s="1"/>
  <c r="F37" i="8"/>
  <c r="G37" i="8" s="1"/>
  <c r="F36" i="8"/>
  <c r="G36" i="8" s="1"/>
  <c r="Y279" i="13"/>
  <c r="Z279" i="13"/>
  <c r="P194" i="13"/>
  <c r="Q177" i="13"/>
  <c r="S177" i="13" s="1"/>
  <c r="S194" i="13" s="1"/>
  <c r="L33" i="12" s="1"/>
  <c r="N33" i="12" s="1"/>
  <c r="H13" i="12" s="1"/>
  <c r="K32" i="19" s="1"/>
  <c r="AS179" i="13"/>
  <c r="AU179" i="13" s="1"/>
  <c r="AX180" i="7"/>
  <c r="AG94" i="13"/>
  <c r="AI94" i="13" s="1"/>
  <c r="AN94" i="13" s="1"/>
  <c r="AP169" i="13"/>
  <c r="AX216" i="13"/>
  <c r="AA138" i="7"/>
  <c r="AG121" i="7"/>
  <c r="AS211" i="13"/>
  <c r="AU211" i="13" s="1"/>
  <c r="AX212" i="7"/>
  <c r="P232" i="13"/>
  <c r="Q215" i="13"/>
  <c r="S215" i="13" s="1"/>
  <c r="S232" i="13" s="1"/>
  <c r="L35" i="12" s="1"/>
  <c r="N35" i="12" s="1"/>
  <c r="H15" i="12" s="1"/>
  <c r="K34" i="19" s="1"/>
  <c r="AA264" i="13"/>
  <c r="AF264" i="13" s="1"/>
  <c r="N82" i="19"/>
  <c r="E96" i="18"/>
  <c r="AS229" i="13"/>
  <c r="AU229" i="13" s="1"/>
  <c r="AX230" i="7"/>
  <c r="AP147" i="13"/>
  <c r="AS268" i="13"/>
  <c r="AU268" i="13" s="1"/>
  <c r="AX269" i="7"/>
  <c r="Y88" i="13"/>
  <c r="Z88" i="13"/>
  <c r="AB178" i="7"/>
  <c r="Z195" i="7"/>
  <c r="AS60" i="13"/>
  <c r="AU60" i="13" s="1"/>
  <c r="AX61" i="7"/>
  <c r="AS91" i="13"/>
  <c r="AU91" i="13" s="1"/>
  <c r="AX92" i="7"/>
  <c r="AG159" i="7"/>
  <c r="AA176" i="7"/>
  <c r="AS279" i="13"/>
  <c r="AU279" i="13" s="1"/>
  <c r="AX280" i="7"/>
  <c r="BH5" i="8"/>
  <c r="AA130" i="13"/>
  <c r="AF130" i="13" s="1"/>
  <c r="AA64" i="13"/>
  <c r="AF64" i="13" s="1"/>
  <c r="AA19" i="13"/>
  <c r="AF19" i="13" s="1"/>
  <c r="AV285" i="13"/>
  <c r="AW285" i="13" s="1"/>
  <c r="AO285" i="13"/>
  <c r="AQ285" i="13" s="1"/>
  <c r="AN75" i="13"/>
  <c r="AP75" i="13" s="1"/>
  <c r="AG75" i="13"/>
  <c r="AI75" i="13" s="1"/>
  <c r="AO201" i="13"/>
  <c r="AS51" i="13"/>
  <c r="AU51" i="13" s="1"/>
  <c r="AX52" i="7"/>
  <c r="AP132" i="13"/>
  <c r="AE23" i="13"/>
  <c r="AG214" i="7"/>
  <c r="AI197" i="7"/>
  <c r="AS198" i="13"/>
  <c r="AU198" i="13" s="1"/>
  <c r="AX199" i="7"/>
  <c r="AS144" i="13"/>
  <c r="AU144" i="13" s="1"/>
  <c r="AX145" i="7"/>
  <c r="S236" i="13"/>
  <c r="X236" i="13" s="1"/>
  <c r="AG168" i="13"/>
  <c r="AJ31" i="9"/>
  <c r="AL31" i="9" s="1"/>
  <c r="T12" i="9" s="1"/>
  <c r="E107" i="19" s="1"/>
  <c r="U42" i="13"/>
  <c r="W25" i="13"/>
  <c r="AG224" i="13"/>
  <c r="N64" i="19"/>
  <c r="E79" i="18"/>
  <c r="AF29" i="9"/>
  <c r="Q10" i="9" s="1"/>
  <c r="E86" i="19" s="1"/>
  <c r="AS188" i="13"/>
  <c r="AU188" i="13" s="1"/>
  <c r="AX189" i="7"/>
  <c r="AS190" i="13"/>
  <c r="AU190" i="13" s="1"/>
  <c r="AX191" i="7"/>
  <c r="AS174" i="13"/>
  <c r="AU174" i="13" s="1"/>
  <c r="AX175" i="7"/>
  <c r="AG212" i="13"/>
  <c r="AI212" i="13" s="1"/>
  <c r="AN212" i="13" s="1"/>
  <c r="AS222" i="13"/>
  <c r="AU222" i="13" s="1"/>
  <c r="AX223" i="7"/>
  <c r="AS88" i="13"/>
  <c r="AU88" i="13" s="1"/>
  <c r="AX89" i="7"/>
  <c r="AA13" i="13"/>
  <c r="AF13" i="13" s="1"/>
  <c r="AH13" i="13" s="1"/>
  <c r="AG254" i="7"/>
  <c r="AA271" i="7"/>
  <c r="AS30" i="13"/>
  <c r="AU30" i="13" s="1"/>
  <c r="AX31" i="7"/>
  <c r="AA278" i="13"/>
  <c r="AF278" i="13" s="1"/>
  <c r="AF31" i="9"/>
  <c r="Q12" i="9" s="1"/>
  <c r="E88" i="19" s="1"/>
  <c r="AS94" i="13"/>
  <c r="AU94" i="13" s="1"/>
  <c r="AX95" i="7"/>
  <c r="U63" i="13"/>
  <c r="Z64" i="7"/>
  <c r="T81" i="7"/>
  <c r="A62" i="18" s="1"/>
  <c r="F62" i="18" s="1"/>
  <c r="AH78" i="13"/>
  <c r="AS50" i="13"/>
  <c r="AU50" i="13" s="1"/>
  <c r="AX51" i="7"/>
  <c r="AJ34" i="9"/>
  <c r="AL34" i="9" s="1"/>
  <c r="T15" i="9" s="1"/>
  <c r="E110" i="19" s="1"/>
  <c r="W272" i="13"/>
  <c r="U289" i="13"/>
  <c r="AG290" i="7"/>
  <c r="AI273" i="7"/>
  <c r="Y18" i="14"/>
  <c r="T19" i="14"/>
  <c r="AS86" i="13"/>
  <c r="AU86" i="13" s="1"/>
  <c r="AX87" i="7"/>
  <c r="AG171" i="13"/>
  <c r="AG41" i="13"/>
  <c r="AI41" i="13" s="1"/>
  <c r="AN41" i="13"/>
  <c r="AS226" i="13"/>
  <c r="AU226" i="13" s="1"/>
  <c r="AX227" i="7"/>
  <c r="AK247" i="13"/>
  <c r="AM247" i="13" s="1"/>
  <c r="AP248" i="7"/>
  <c r="AR248" i="7" s="1"/>
  <c r="AS261" i="13"/>
  <c r="AU261" i="13" s="1"/>
  <c r="AX262" i="7"/>
  <c r="AS140" i="13"/>
  <c r="AU140" i="13" s="1"/>
  <c r="AX141" i="7"/>
  <c r="AA220" i="13"/>
  <c r="AF220" i="13" s="1"/>
  <c r="AK68" i="13"/>
  <c r="AM68" i="13" s="1"/>
  <c r="AP69" i="7"/>
  <c r="AR69" i="7" s="1"/>
  <c r="AK133" i="13"/>
  <c r="AM133" i="13" s="1"/>
  <c r="AP134" i="7"/>
  <c r="AR134" i="7" s="1"/>
  <c r="AK237" i="13"/>
  <c r="AM237" i="13" s="1"/>
  <c r="AP238" i="7"/>
  <c r="AR238" i="7" s="1"/>
  <c r="AS273" i="13"/>
  <c r="AU273" i="13" s="1"/>
  <c r="AX274" i="7"/>
  <c r="S125" i="13"/>
  <c r="X125" i="13" s="1"/>
  <c r="Y32" i="13"/>
  <c r="AA32" i="13" s="1"/>
  <c r="AF32" i="13"/>
  <c r="Z32" i="13"/>
  <c r="AS151" i="13"/>
  <c r="AU151" i="13" s="1"/>
  <c r="AX152" i="7"/>
  <c r="AS87" i="13"/>
  <c r="AU87" i="13" s="1"/>
  <c r="AX88" i="7"/>
  <c r="H5" i="9"/>
  <c r="AS148" i="13"/>
  <c r="AU148" i="13" s="1"/>
  <c r="AX149" i="7"/>
  <c r="U234" i="13"/>
  <c r="T252" i="7"/>
  <c r="A70" i="18" s="1"/>
  <c r="F70" i="18" s="1"/>
  <c r="I70" i="18" s="1"/>
  <c r="K70" i="18" s="1"/>
  <c r="K16" i="18" s="1"/>
  <c r="Q54" i="19" s="1"/>
  <c r="Z235" i="7"/>
  <c r="AH184" i="13"/>
  <c r="AK242" i="13"/>
  <c r="AM242" i="13" s="1"/>
  <c r="AP243" i="7"/>
  <c r="AR243" i="7" s="1"/>
  <c r="AK20" i="13"/>
  <c r="AM20" i="13" s="1"/>
  <c r="AP21" i="7"/>
  <c r="AR21" i="7" s="1"/>
  <c r="AG161" i="13"/>
  <c r="AI161" i="13" s="1"/>
  <c r="AN161" i="13"/>
  <c r="AS153" i="13"/>
  <c r="AU153" i="13" s="1"/>
  <c r="AX154" i="7"/>
  <c r="AK16" i="13"/>
  <c r="AM16" i="13" s="1"/>
  <c r="AP17" i="7"/>
  <c r="AR17" i="7" s="1"/>
  <c r="AB140" i="7"/>
  <c r="Z157" i="7"/>
  <c r="C37" i="18"/>
  <c r="I23" i="18"/>
  <c r="AP59" i="13"/>
  <c r="Z22" i="13"/>
  <c r="P29" i="15"/>
  <c r="T47" i="14"/>
  <c r="Y47" i="14" s="1"/>
  <c r="AE24" i="19"/>
  <c r="AS48" i="13"/>
  <c r="AU48" i="13" s="1"/>
  <c r="AX49" i="7"/>
  <c r="AS230" i="13"/>
  <c r="AU230" i="13" s="1"/>
  <c r="AX231" i="7"/>
  <c r="AS165" i="13"/>
  <c r="AU165" i="13" s="1"/>
  <c r="AX166" i="7"/>
  <c r="AN35" i="13"/>
  <c r="AG35" i="13"/>
  <c r="AI35" i="13" s="1"/>
  <c r="AG207" i="13"/>
  <c r="AI207" i="13" s="1"/>
  <c r="AN207" i="13" s="1"/>
  <c r="AP207" i="13" s="1"/>
  <c r="AS98" i="13"/>
  <c r="AU98" i="13" s="1"/>
  <c r="AX99" i="7"/>
  <c r="F33" i="8"/>
  <c r="G33" i="8" s="1"/>
  <c r="C40" i="8"/>
  <c r="AH167" i="13"/>
  <c r="AH36" i="13"/>
  <c r="AS205" i="13"/>
  <c r="AU205" i="13" s="1"/>
  <c r="AX206" i="7"/>
  <c r="AK15" i="13"/>
  <c r="AM15" i="13" s="1"/>
  <c r="AP16" i="7"/>
  <c r="AR16" i="7" s="1"/>
  <c r="Q81" i="14"/>
  <c r="AA190" i="13"/>
  <c r="AF190" i="13" s="1"/>
  <c r="AH217" i="13"/>
  <c r="BS44" i="8"/>
  <c r="BU44" i="8" s="1"/>
  <c r="Z122" i="13"/>
  <c r="H29" i="12"/>
  <c r="E9" i="12" s="1"/>
  <c r="K9" i="19" s="1"/>
  <c r="F27" i="8"/>
  <c r="G27" i="8" s="1"/>
  <c r="AK11" i="13"/>
  <c r="AM11" i="13" s="1"/>
  <c r="AP12" i="7"/>
  <c r="AR12" i="7" s="1"/>
  <c r="AA192" i="13"/>
  <c r="AF192" i="13" s="1"/>
  <c r="S241" i="13"/>
  <c r="X241" i="13" s="1"/>
  <c r="AK21" i="13"/>
  <c r="AM21" i="13" s="1"/>
  <c r="AP22" i="7"/>
  <c r="AR22" i="7" s="1"/>
  <c r="AB83" i="7"/>
  <c r="Z100" i="7"/>
  <c r="AI287" i="13"/>
  <c r="AN287" i="13" s="1"/>
  <c r="AA181" i="13"/>
  <c r="AF181" i="13" s="1"/>
  <c r="AG206" i="13"/>
  <c r="AH206" i="13"/>
  <c r="AG202" i="13"/>
  <c r="AH202" i="13"/>
  <c r="AH276" i="13"/>
  <c r="Y12" i="13"/>
  <c r="AA12" i="13" s="1"/>
  <c r="AF12" i="13"/>
  <c r="AK72" i="13"/>
  <c r="AM72" i="13" s="1"/>
  <c r="AP73" i="7"/>
  <c r="AR73" i="7" s="1"/>
  <c r="AK238" i="13"/>
  <c r="AM238" i="13" s="1"/>
  <c r="AP239" i="7"/>
  <c r="AR239" i="7" s="1"/>
  <c r="AV225" i="13"/>
  <c r="AW225" i="13" s="1"/>
  <c r="AO225" i="13"/>
  <c r="AQ225" i="13" s="1"/>
  <c r="AS167" i="13"/>
  <c r="AU167" i="13" s="1"/>
  <c r="AX168" i="7"/>
  <c r="AK10" i="13"/>
  <c r="AM10" i="13" s="1"/>
  <c r="AP11" i="7"/>
  <c r="AR11" i="7" s="1"/>
  <c r="AS277" i="13"/>
  <c r="AU277" i="13" s="1"/>
  <c r="AX278" i="7"/>
  <c r="AS36" i="13"/>
  <c r="AU36" i="13" s="1"/>
  <c r="AX37" i="7"/>
  <c r="AS96" i="13"/>
  <c r="AU96" i="13" s="1"/>
  <c r="AX97" i="7"/>
  <c r="AJ37" i="9"/>
  <c r="AL37" i="9" s="1"/>
  <c r="G22" i="3"/>
  <c r="G24" i="3" s="1"/>
  <c r="G21" i="3"/>
  <c r="H19" i="3" s="1"/>
  <c r="AS219" i="13"/>
  <c r="AU219" i="13" s="1"/>
  <c r="AX220" i="7"/>
  <c r="G54" i="19"/>
  <c r="AH19" i="8"/>
  <c r="AS160" i="13"/>
  <c r="AU160" i="13" s="1"/>
  <c r="AX161" i="7"/>
  <c r="H32" i="12"/>
  <c r="E12" i="12" s="1"/>
  <c r="K12" i="19" s="1"/>
  <c r="F30" i="8"/>
  <c r="G30" i="8" s="1"/>
  <c r="AS35" i="13"/>
  <c r="AU35" i="13" s="1"/>
  <c r="AX36" i="7"/>
  <c r="AK76" i="13"/>
  <c r="AM76" i="13" s="1"/>
  <c r="AP77" i="7"/>
  <c r="AR77" i="7" s="1"/>
  <c r="AS145" i="13"/>
  <c r="AU145" i="13" s="1"/>
  <c r="AX146" i="7"/>
  <c r="E5" i="19"/>
  <c r="AA257" i="13"/>
  <c r="AF257" i="13" s="1"/>
  <c r="AH171" i="13"/>
  <c r="AK249" i="13"/>
  <c r="AM249" i="13" s="1"/>
  <c r="AP250" i="7"/>
  <c r="AR250" i="7" s="1"/>
  <c r="U270" i="13"/>
  <c r="W253" i="13"/>
  <c r="Y228" i="13"/>
  <c r="Z228" i="13"/>
  <c r="AH144" i="13"/>
  <c r="AS155" i="13"/>
  <c r="AU155" i="13" s="1"/>
  <c r="AX156" i="7"/>
  <c r="AS26" i="13"/>
  <c r="AU26" i="13" s="1"/>
  <c r="AX27" i="7"/>
  <c r="AA52" i="13"/>
  <c r="AF52" i="13" s="1"/>
  <c r="P32" i="8"/>
  <c r="I32" i="8"/>
  <c r="AS180" i="13"/>
  <c r="AU180" i="13" s="1"/>
  <c r="AX181" i="7"/>
  <c r="Y242" i="13"/>
  <c r="AA242" i="13" s="1"/>
  <c r="AF242" i="13"/>
  <c r="AS162" i="13"/>
  <c r="AU162" i="13" s="1"/>
  <c r="AX163" i="7"/>
  <c r="AK123" i="13"/>
  <c r="AM123" i="13" s="1"/>
  <c r="AP124" i="7"/>
  <c r="AR124" i="7" s="1"/>
  <c r="S73" i="13"/>
  <c r="X73" i="13" s="1"/>
  <c r="W44" i="13"/>
  <c r="U61" i="13"/>
  <c r="S17" i="13"/>
  <c r="X17" i="13" s="1"/>
  <c r="U194" i="13"/>
  <c r="W177" i="13"/>
  <c r="AA261" i="13"/>
  <c r="AF261" i="13" s="1"/>
  <c r="AS32" i="13"/>
  <c r="AU32" i="13" s="1"/>
  <c r="AX33" i="7"/>
  <c r="S239" i="13"/>
  <c r="X239" i="13" s="1"/>
  <c r="AS189" i="13"/>
  <c r="AU189" i="13" s="1"/>
  <c r="AX190" i="7"/>
  <c r="V91" i="19"/>
  <c r="AA45" i="13"/>
  <c r="AF45" i="13" s="1"/>
  <c r="AH40" i="13"/>
  <c r="AA31" i="13"/>
  <c r="AF31" i="13" s="1"/>
  <c r="AA218" i="13"/>
  <c r="AF218" i="13" s="1"/>
  <c r="K35" i="8"/>
  <c r="I17" i="8"/>
  <c r="K17" i="8" s="1"/>
  <c r="H17" i="19" s="1"/>
  <c r="W17" i="19" s="1"/>
  <c r="AA267" i="13"/>
  <c r="AF267" i="13" s="1"/>
  <c r="AA226" i="13"/>
  <c r="AF226" i="13" s="1"/>
  <c r="AA18" i="13"/>
  <c r="AF18" i="13" s="1"/>
  <c r="AH18" i="13" s="1"/>
  <c r="AA74" i="13"/>
  <c r="AF74" i="13" s="1"/>
  <c r="AH74" i="13" s="1"/>
  <c r="D43" i="19"/>
  <c r="J19" i="9"/>
  <c r="AA149" i="13"/>
  <c r="AF149" i="13" s="1"/>
  <c r="AA164" i="13"/>
  <c r="AF164" i="13" s="1"/>
  <c r="AA179" i="13"/>
  <c r="AF179" i="13" s="1"/>
  <c r="AG92" i="13"/>
  <c r="AI92" i="13" s="1"/>
  <c r="AN92" i="13" s="1"/>
  <c r="AS276" i="13"/>
  <c r="AU276" i="13" s="1"/>
  <c r="AX277" i="7"/>
  <c r="R27" i="15"/>
  <c r="M102" i="14" s="1"/>
  <c r="Q102" i="14" s="1"/>
  <c r="M83" i="14"/>
  <c r="Q83" i="14" s="1"/>
  <c r="AK240" i="13"/>
  <c r="AM240" i="13" s="1"/>
  <c r="AP241" i="7"/>
  <c r="AR241" i="7" s="1"/>
  <c r="AN78" i="13"/>
  <c r="AG78" i="13"/>
  <c r="AI78" i="13" s="1"/>
  <c r="AK248" i="13"/>
  <c r="AM248" i="13" s="1"/>
  <c r="AP249" i="7"/>
  <c r="AR249" i="7" s="1"/>
  <c r="Y238" i="13"/>
  <c r="AA238" i="13" s="1"/>
  <c r="AF238" i="13" s="1"/>
  <c r="AA100" i="7"/>
  <c r="AG83" i="7"/>
  <c r="AG79" i="13"/>
  <c r="AI79" i="13" s="1"/>
  <c r="AN79" i="13" s="1"/>
  <c r="AO30" i="13"/>
  <c r="AQ30" i="13" s="1"/>
  <c r="AV30" i="13"/>
  <c r="AW30" i="13" s="1"/>
  <c r="W158" i="13"/>
  <c r="U175" i="13"/>
  <c r="AS170" i="13"/>
  <c r="AU170" i="13" s="1"/>
  <c r="AX171" i="7"/>
  <c r="Y70" i="13"/>
  <c r="AA70" i="13" s="1"/>
  <c r="AF70" i="13" s="1"/>
  <c r="Z43" i="7"/>
  <c r="AB26" i="7"/>
  <c r="AK239" i="13"/>
  <c r="AM239" i="13" s="1"/>
  <c r="AP240" i="7"/>
  <c r="AR240" i="7" s="1"/>
  <c r="S20" i="13"/>
  <c r="X20" i="13" s="1"/>
  <c r="Y174" i="13"/>
  <c r="Z174" i="13"/>
  <c r="AG281" i="13"/>
  <c r="AI281" i="13" s="1"/>
  <c r="AN281" i="13" s="1"/>
  <c r="AS185" i="13"/>
  <c r="AU185" i="13" s="1"/>
  <c r="AX186" i="7"/>
  <c r="O31" i="15"/>
  <c r="T37" i="14"/>
  <c r="Y37" i="14" s="1"/>
  <c r="Y131" i="13"/>
  <c r="AA131" i="13" s="1"/>
  <c r="AF131" i="13" s="1"/>
  <c r="AN268" i="13"/>
  <c r="AG268" i="13"/>
  <c r="AI268" i="13" s="1"/>
  <c r="AN163" i="13"/>
  <c r="AP163" i="13" s="1"/>
  <c r="AG163" i="13"/>
  <c r="AI163" i="13" s="1"/>
  <c r="R23" i="13"/>
  <c r="H30" i="12"/>
  <c r="E10" i="12" s="1"/>
  <c r="K10" i="19" s="1"/>
  <c r="F28" i="8"/>
  <c r="G28" i="8" s="1"/>
  <c r="AS37" i="13"/>
  <c r="AU37" i="13" s="1"/>
  <c r="AX38" i="7"/>
  <c r="U120" i="13"/>
  <c r="Z121" i="7"/>
  <c r="T138" i="7"/>
  <c r="A64" i="18" s="1"/>
  <c r="F64" i="18" s="1"/>
  <c r="AK14" i="13"/>
  <c r="AM14" i="13" s="1"/>
  <c r="AP15" i="7"/>
  <c r="AR15" i="7" s="1"/>
  <c r="AS172" i="13"/>
  <c r="AU172" i="13" s="1"/>
  <c r="AX173" i="7"/>
  <c r="AG258" i="13"/>
  <c r="AI258" i="13" s="1"/>
  <c r="AN258" i="13" s="1"/>
  <c r="AH258" i="13"/>
  <c r="AK128" i="13"/>
  <c r="AM128" i="13" s="1"/>
  <c r="AP129" i="7"/>
  <c r="AR129" i="7" s="1"/>
  <c r="P14" i="23"/>
  <c r="N14" i="23"/>
  <c r="O14" i="23" s="1"/>
  <c r="Y208" i="13"/>
  <c r="Z208" i="13"/>
  <c r="AS280" i="13"/>
  <c r="AU280" i="13" s="1"/>
  <c r="AX281" i="7"/>
  <c r="AH224" i="13"/>
  <c r="S18" i="9"/>
  <c r="D113" i="19" s="1"/>
  <c r="AH242" i="13"/>
  <c r="AF237" i="13"/>
  <c r="Y237" i="13"/>
  <c r="AA237" i="13" s="1"/>
  <c r="AA43" i="7"/>
  <c r="AG26" i="7"/>
  <c r="AS269" i="13"/>
  <c r="AU269" i="13" s="1"/>
  <c r="AX270" i="7"/>
  <c r="AS141" i="13"/>
  <c r="AU141" i="13" s="1"/>
  <c r="AX142" i="7"/>
  <c r="S10" i="13"/>
  <c r="X10" i="13" s="1"/>
  <c r="AG160" i="13"/>
  <c r="AI160" i="13" s="1"/>
  <c r="AN160" i="13"/>
  <c r="N28" i="19"/>
  <c r="E45" i="18"/>
  <c r="I45" i="18" s="1"/>
  <c r="K45" i="18" s="1"/>
  <c r="H9" i="18" s="1"/>
  <c r="Q28" i="19" s="1"/>
  <c r="AH53" i="13"/>
  <c r="AS260" i="13"/>
  <c r="AU260" i="13" s="1"/>
  <c r="AX261" i="7"/>
  <c r="AS152" i="13"/>
  <c r="AU152" i="13" s="1"/>
  <c r="AX153" i="7"/>
  <c r="AK130" i="13"/>
  <c r="AM130" i="13" s="1"/>
  <c r="AP131" i="7"/>
  <c r="AR131" i="7" s="1"/>
  <c r="AP48" i="13"/>
  <c r="AB197" i="7"/>
  <c r="Z214" i="7"/>
  <c r="AS254" i="13"/>
  <c r="AU254" i="13" s="1"/>
  <c r="AX255" i="7"/>
  <c r="AS33" i="13"/>
  <c r="AU33" i="13" s="1"/>
  <c r="AX34" i="7"/>
  <c r="AS203" i="13"/>
  <c r="AU203" i="13" s="1"/>
  <c r="AX204" i="7"/>
  <c r="AS75" i="13"/>
  <c r="AU75" i="13" s="1"/>
  <c r="AX76" i="7"/>
  <c r="AS209" i="13"/>
  <c r="AU209" i="13" s="1"/>
  <c r="AX210" i="7"/>
  <c r="U6" i="13"/>
  <c r="U23" i="13" s="1"/>
  <c r="T24" i="7"/>
  <c r="A59" i="18" s="1"/>
  <c r="F59" i="18" s="1"/>
  <c r="F73" i="18" s="1"/>
  <c r="Z7" i="7"/>
  <c r="AS40" i="13"/>
  <c r="AU40" i="13" s="1"/>
  <c r="AX41" i="7"/>
  <c r="Y136" i="13"/>
  <c r="AA136" i="13" s="1"/>
  <c r="AF136" i="13" s="1"/>
  <c r="AG275" i="13"/>
  <c r="AI275" i="13" s="1"/>
  <c r="AN275" i="13" s="1"/>
  <c r="AD36" i="9"/>
  <c r="AG36" i="9" s="1"/>
  <c r="AG205" i="13"/>
  <c r="AI205" i="13" s="1"/>
  <c r="AN205" i="13"/>
  <c r="AP205" i="13" s="1"/>
  <c r="AP98" i="13"/>
  <c r="Y87" i="13"/>
  <c r="Z87" i="13"/>
  <c r="AS159" i="13"/>
  <c r="AU159" i="13" s="1"/>
  <c r="AX160" i="7"/>
  <c r="AP201" i="13"/>
  <c r="Y247" i="13"/>
  <c r="AA247" i="13" s="1"/>
  <c r="AF247" i="13" s="1"/>
  <c r="AA235" i="13"/>
  <c r="AF235" i="13" s="1"/>
  <c r="AK70" i="13"/>
  <c r="AM70" i="13" s="1"/>
  <c r="AP71" i="7"/>
  <c r="AR71" i="7" s="1"/>
  <c r="Z129" i="13"/>
  <c r="AG50" i="13"/>
  <c r="AB216" i="7"/>
  <c r="Z233" i="7"/>
  <c r="AS92" i="13"/>
  <c r="AU92" i="13" s="1"/>
  <c r="AX93" i="7"/>
  <c r="AG11" i="13"/>
  <c r="AA274" i="13"/>
  <c r="AF274" i="13" s="1"/>
  <c r="AI231" i="13"/>
  <c r="AN231" i="13" s="1"/>
  <c r="AP231" i="13" s="1"/>
  <c r="AS161" i="13"/>
  <c r="AU161" i="13" s="1"/>
  <c r="AX162" i="7"/>
  <c r="AN153" i="13"/>
  <c r="AG153" i="13"/>
  <c r="AI153" i="13" s="1"/>
  <c r="AH11" i="13"/>
  <c r="AA57" i="13"/>
  <c r="AF57" i="13" s="1"/>
  <c r="I27" i="18"/>
  <c r="K27" i="18" s="1"/>
  <c r="E9" i="18" s="1"/>
  <c r="Q9" i="19" s="1"/>
  <c r="AS53" i="13"/>
  <c r="AU53" i="13" s="1"/>
  <c r="AX54" i="7"/>
  <c r="AS208" i="13"/>
  <c r="AU208" i="13" s="1"/>
  <c r="AX209" i="7"/>
  <c r="AA60" i="13"/>
  <c r="AF60" i="13" s="1"/>
  <c r="V35" i="19"/>
  <c r="AE35" i="19" s="1"/>
  <c r="G38" i="19"/>
  <c r="AA28" i="13"/>
  <c r="AF28" i="13" s="1"/>
  <c r="AA189" i="13"/>
  <c r="AF189" i="13" s="1"/>
  <c r="AK136" i="13"/>
  <c r="AM136" i="13" s="1"/>
  <c r="AP137" i="7"/>
  <c r="AR137" i="7" s="1"/>
  <c r="AH162" i="13"/>
  <c r="AH21" i="13"/>
  <c r="AH168" i="13"/>
  <c r="AS41" i="13"/>
  <c r="AU41" i="13" s="1"/>
  <c r="AX42" i="7"/>
  <c r="AS200" i="13"/>
  <c r="AU200" i="13" s="1"/>
  <c r="AX201" i="7"/>
  <c r="AA134" i="13"/>
  <c r="AF134" i="13" s="1"/>
  <c r="AK64" i="13"/>
  <c r="AM64" i="13" s="1"/>
  <c r="AP65" i="7"/>
  <c r="AR65" i="7" s="1"/>
  <c r="AG262" i="13"/>
  <c r="AI262" i="13" s="1"/>
  <c r="AN262" i="13" s="1"/>
  <c r="AG188" i="13"/>
  <c r="AI188" i="13" s="1"/>
  <c r="AN188" i="13" s="1"/>
  <c r="AG26" i="13"/>
  <c r="AI26" i="13" s="1"/>
  <c r="AN26" i="13"/>
  <c r="AG283" i="13"/>
  <c r="AH283" i="13"/>
  <c r="Y250" i="13"/>
  <c r="AA250" i="13" s="1"/>
  <c r="AF250" i="13" s="1"/>
  <c r="AK245" i="13"/>
  <c r="AM245" i="13" s="1"/>
  <c r="AP246" i="7"/>
  <c r="AR246" i="7" s="1"/>
  <c r="AH72" i="13"/>
  <c r="Y38" i="13"/>
  <c r="AA38" i="13" s="1"/>
  <c r="AF38" i="13" s="1"/>
  <c r="Z38" i="13"/>
  <c r="AS29" i="13"/>
  <c r="AU29" i="13" s="1"/>
  <c r="AX30" i="7"/>
  <c r="AP96" i="13"/>
  <c r="Q18" i="9"/>
  <c r="E94" i="19" s="1"/>
  <c r="AS228" i="13"/>
  <c r="AU228" i="13" s="1"/>
  <c r="AX229" i="7"/>
  <c r="AH198" i="13"/>
  <c r="AK127" i="13"/>
  <c r="AM127" i="13" s="1"/>
  <c r="AP128" i="7"/>
  <c r="AR128" i="7" s="1"/>
  <c r="AK66" i="13"/>
  <c r="AM66" i="13" s="1"/>
  <c r="AP67" i="7"/>
  <c r="AR67" i="7" s="1"/>
  <c r="N62" i="19"/>
  <c r="E77" i="18"/>
  <c r="AP219" i="13"/>
  <c r="AP160" i="13"/>
  <c r="AP35" i="13"/>
  <c r="AK12" i="13"/>
  <c r="AM12" i="13" s="1"/>
  <c r="AP13" i="7"/>
  <c r="AR13" i="7" s="1"/>
  <c r="AS164" i="13"/>
  <c r="AU164" i="13" s="1"/>
  <c r="AX165" i="7"/>
  <c r="AK122" i="13"/>
  <c r="AM122" i="13" s="1"/>
  <c r="AP123" i="7"/>
  <c r="AR123" i="7" s="1"/>
  <c r="H26" i="12"/>
  <c r="E6" i="12" s="1"/>
  <c r="K6" i="19" s="1"/>
  <c r="F24" i="8"/>
  <c r="G24" i="8" s="1"/>
  <c r="AK241" i="13"/>
  <c r="AM241" i="13" s="1"/>
  <c r="AP242" i="7"/>
  <c r="AR242" i="7" s="1"/>
  <c r="AA85" i="13"/>
  <c r="AF85" i="13" s="1"/>
  <c r="AP26" i="13"/>
  <c r="AP282" i="13"/>
  <c r="BJ55" i="8"/>
  <c r="BF16" i="8"/>
  <c r="BH16" i="8" s="1"/>
  <c r="G92" i="19" s="1"/>
  <c r="V92" i="19" s="1"/>
  <c r="AA91" i="13"/>
  <c r="AF91" i="13" s="1"/>
  <c r="AH199" i="13"/>
  <c r="S245" i="13"/>
  <c r="X245" i="13" s="1"/>
  <c r="AK243" i="13"/>
  <c r="AM243" i="13" s="1"/>
  <c r="AP244" i="7"/>
  <c r="AR244" i="7" s="1"/>
  <c r="AH50" i="13"/>
  <c r="Y186" i="13"/>
  <c r="Z186" i="13"/>
  <c r="AG233" i="7"/>
  <c r="AI216" i="7"/>
  <c r="AS263" i="13"/>
  <c r="AU263" i="13" s="1"/>
  <c r="AX264" i="7"/>
  <c r="AS56" i="13"/>
  <c r="AU56" i="13" s="1"/>
  <c r="AX57" i="7"/>
  <c r="AS204" i="13"/>
  <c r="AU204" i="13" s="1"/>
  <c r="AX205" i="7"/>
  <c r="E28" i="18"/>
  <c r="I28" i="18" s="1"/>
  <c r="K28" i="18" s="1"/>
  <c r="E10" i="18" s="1"/>
  <c r="Q10" i="19" s="1"/>
  <c r="N10" i="19"/>
  <c r="Y19" i="14"/>
  <c r="AS274" i="13"/>
  <c r="AU274" i="13" s="1"/>
  <c r="AX275" i="7"/>
  <c r="AI191" i="13"/>
  <c r="AN191" i="13" s="1"/>
  <c r="AH34" i="13"/>
  <c r="AA255" i="13"/>
  <c r="AF255" i="13" s="1"/>
  <c r="T35" i="8"/>
  <c r="AC35" i="8" s="1"/>
  <c r="S35" i="8"/>
  <c r="V35" i="8"/>
  <c r="AA8" i="13"/>
  <c r="AF8" i="13" s="1"/>
  <c r="AH8" i="13" s="1"/>
  <c r="AA37" i="13"/>
  <c r="AF37" i="13" s="1"/>
  <c r="AA16" i="13"/>
  <c r="AF16" i="13" s="1"/>
  <c r="AA46" i="13"/>
  <c r="AF46" i="13" s="1"/>
  <c r="AI185" i="13"/>
  <c r="AN185" i="13" s="1"/>
  <c r="AP185" i="13" s="1"/>
  <c r="AW182" i="13" l="1"/>
  <c r="AX182" i="13"/>
  <c r="AQ187" i="13"/>
  <c r="AV187" i="13" s="1"/>
  <c r="AA186" i="13"/>
  <c r="AF186" i="13" s="1"/>
  <c r="AG247" i="13"/>
  <c r="AI247" i="13" s="1"/>
  <c r="AN247" i="13" s="1"/>
  <c r="AH247" i="13"/>
  <c r="AO281" i="13"/>
  <c r="AQ281" i="13" s="1"/>
  <c r="AV281" i="13" s="1"/>
  <c r="AP281" i="13"/>
  <c r="P33" i="8"/>
  <c r="I33" i="8"/>
  <c r="AG186" i="13"/>
  <c r="AH186" i="13"/>
  <c r="AG38" i="13"/>
  <c r="AI38" i="13" s="1"/>
  <c r="AN38" i="13" s="1"/>
  <c r="AH38" i="13"/>
  <c r="AG250" i="13"/>
  <c r="AI250" i="13" s="1"/>
  <c r="AN250" i="13" s="1"/>
  <c r="AH250" i="13"/>
  <c r="AO92" i="13"/>
  <c r="AP92" i="13"/>
  <c r="AG68" i="13"/>
  <c r="AH68" i="13"/>
  <c r="AG65" i="13"/>
  <c r="AH65" i="13"/>
  <c r="AO27" i="13"/>
  <c r="AQ27" i="13" s="1"/>
  <c r="AV27" i="13" s="1"/>
  <c r="AP27" i="13"/>
  <c r="AO58" i="13"/>
  <c r="AQ58" i="13" s="1"/>
  <c r="AV58" i="13" s="1"/>
  <c r="AP58" i="13"/>
  <c r="AG54" i="13"/>
  <c r="AH54" i="13"/>
  <c r="AG140" i="13"/>
  <c r="AI140" i="13" s="1"/>
  <c r="AN140" i="13"/>
  <c r="AH140" i="13"/>
  <c r="AG166" i="13"/>
  <c r="AH166" i="13"/>
  <c r="AO254" i="13"/>
  <c r="AP254" i="13"/>
  <c r="AG121" i="13"/>
  <c r="AH121" i="13"/>
  <c r="AO150" i="13"/>
  <c r="AQ150" i="13" s="1"/>
  <c r="AV150" i="13" s="1"/>
  <c r="AP150" i="13"/>
  <c r="AW89" i="13"/>
  <c r="AY89" i="13" s="1"/>
  <c r="AX89" i="13"/>
  <c r="AG238" i="13"/>
  <c r="AH238" i="13"/>
  <c r="AO204" i="13"/>
  <c r="AQ204" i="13" s="1"/>
  <c r="AV204" i="13" s="1"/>
  <c r="AP204" i="13"/>
  <c r="AG135" i="13"/>
  <c r="AH135" i="13"/>
  <c r="AW284" i="13"/>
  <c r="AX284" i="13"/>
  <c r="AO83" i="13"/>
  <c r="AP83" i="13"/>
  <c r="M5" i="9"/>
  <c r="Z63" i="9"/>
  <c r="AW286" i="13"/>
  <c r="AY286" i="13" s="1"/>
  <c r="AX286" i="13"/>
  <c r="AO273" i="13"/>
  <c r="AP273" i="13"/>
  <c r="AO141" i="13"/>
  <c r="AP141" i="13"/>
  <c r="AO145" i="13"/>
  <c r="AQ145" i="13" s="1"/>
  <c r="AV145" i="13" s="1"/>
  <c r="AP145" i="13"/>
  <c r="AO203" i="13"/>
  <c r="AQ203" i="13" s="1"/>
  <c r="AV203" i="13"/>
  <c r="AW203" i="13" s="1"/>
  <c r="AP203" i="13"/>
  <c r="AO209" i="13"/>
  <c r="AP209" i="13"/>
  <c r="AO188" i="13"/>
  <c r="AQ188" i="13" s="1"/>
  <c r="AV188" i="13" s="1"/>
  <c r="AP188" i="13"/>
  <c r="AO275" i="13"/>
  <c r="AQ275" i="13" s="1"/>
  <c r="AV275" i="13" s="1"/>
  <c r="AP275" i="13"/>
  <c r="AO258" i="13"/>
  <c r="AQ258" i="13" s="1"/>
  <c r="AV258" i="13"/>
  <c r="AP258" i="13"/>
  <c r="AO262" i="13"/>
  <c r="AP262" i="13"/>
  <c r="AG136" i="13"/>
  <c r="AH136" i="13"/>
  <c r="AG131" i="13"/>
  <c r="AH131" i="13"/>
  <c r="AO79" i="13"/>
  <c r="AO94" i="13"/>
  <c r="AQ94" i="13" s="1"/>
  <c r="AV94" i="13"/>
  <c r="AW94" i="13" s="1"/>
  <c r="AP94" i="13"/>
  <c r="AW93" i="13"/>
  <c r="AY93" i="13" s="1"/>
  <c r="AX93" i="13"/>
  <c r="AW288" i="13"/>
  <c r="AY288" i="13" s="1"/>
  <c r="AX288" i="13"/>
  <c r="AO95" i="13"/>
  <c r="AP95" i="13"/>
  <c r="AO51" i="13"/>
  <c r="AP51" i="13"/>
  <c r="AO155" i="13"/>
  <c r="AP155" i="13"/>
  <c r="AO263" i="13"/>
  <c r="AQ263" i="13" s="1"/>
  <c r="AV263" i="13" s="1"/>
  <c r="AP263" i="13"/>
  <c r="AG15" i="13"/>
  <c r="AH15" i="13"/>
  <c r="AG70" i="13"/>
  <c r="AI70" i="13" s="1"/>
  <c r="AN70" i="13" s="1"/>
  <c r="AH70" i="13"/>
  <c r="BS5" i="8"/>
  <c r="BW44" i="8"/>
  <c r="AO212" i="13"/>
  <c r="AQ212" i="13" s="1"/>
  <c r="AV212" i="13" s="1"/>
  <c r="AP212" i="13"/>
  <c r="AO97" i="13"/>
  <c r="AP97" i="13"/>
  <c r="AW178" i="13"/>
  <c r="AX178" i="13"/>
  <c r="AO269" i="13"/>
  <c r="AQ269" i="13" s="1"/>
  <c r="AV269" i="13" s="1"/>
  <c r="AP269" i="13"/>
  <c r="AO266" i="13"/>
  <c r="AP266" i="13"/>
  <c r="AG71" i="13"/>
  <c r="AI71" i="13" s="1"/>
  <c r="AN71" i="13" s="1"/>
  <c r="AH71" i="13"/>
  <c r="AO260" i="13"/>
  <c r="AP260" i="13"/>
  <c r="AO159" i="13"/>
  <c r="AQ159" i="13" s="1"/>
  <c r="AV159" i="13" s="1"/>
  <c r="AP159" i="13"/>
  <c r="AO55" i="13"/>
  <c r="AP55" i="13"/>
  <c r="AG46" i="13"/>
  <c r="AI46" i="13" s="1"/>
  <c r="AN46" i="13"/>
  <c r="AH46" i="13"/>
  <c r="AS122" i="13"/>
  <c r="AU122" i="13" s="1"/>
  <c r="AX123" i="7"/>
  <c r="AG274" i="13"/>
  <c r="AI274" i="13" s="1"/>
  <c r="AN274" i="13" s="1"/>
  <c r="AH274" i="13"/>
  <c r="AI50" i="13"/>
  <c r="AN50" i="13" s="1"/>
  <c r="AG16" i="13"/>
  <c r="AO191" i="13"/>
  <c r="AP191" i="13"/>
  <c r="AS243" i="13"/>
  <c r="AU243" i="13" s="1"/>
  <c r="AX244" i="7"/>
  <c r="Y245" i="13"/>
  <c r="AA245" i="13" s="1"/>
  <c r="AF245" i="13" s="1"/>
  <c r="Z245" i="13"/>
  <c r="E17" i="25"/>
  <c r="AE92" i="19"/>
  <c r="AS12" i="13"/>
  <c r="AU12" i="13" s="1"/>
  <c r="AX13" i="7"/>
  <c r="AI283" i="13"/>
  <c r="AN283" i="13" s="1"/>
  <c r="AG189" i="13"/>
  <c r="AH189" i="13"/>
  <c r="AG60" i="13"/>
  <c r="AH60" i="13"/>
  <c r="AG57" i="13"/>
  <c r="AI57" i="13" s="1"/>
  <c r="AN57" i="13" s="1"/>
  <c r="AH57" i="13"/>
  <c r="AI11" i="13"/>
  <c r="AN11" i="13" s="1"/>
  <c r="AA87" i="13"/>
  <c r="AF87" i="13" s="1"/>
  <c r="AC196" i="13"/>
  <c r="AH197" i="7"/>
  <c r="AB214" i="7"/>
  <c r="A86" i="18" s="1"/>
  <c r="F86" i="18" s="1"/>
  <c r="AS130" i="13"/>
  <c r="AU130" i="13" s="1"/>
  <c r="AX131" i="7"/>
  <c r="AH16" i="13"/>
  <c r="U137" i="13"/>
  <c r="W120" i="13"/>
  <c r="I28" i="8"/>
  <c r="P28" i="8"/>
  <c r="AA174" i="13"/>
  <c r="AF174" i="13" s="1"/>
  <c r="AS248" i="13"/>
  <c r="AU248" i="13" s="1"/>
  <c r="AX249" i="7"/>
  <c r="N102" i="19"/>
  <c r="E115" i="18"/>
  <c r="AG226" i="13"/>
  <c r="AH226" i="13"/>
  <c r="AG218" i="13"/>
  <c r="AI218" i="13" s="1"/>
  <c r="AN218" i="13" s="1"/>
  <c r="AH218" i="13"/>
  <c r="AG45" i="13"/>
  <c r="AI45" i="13" s="1"/>
  <c r="AN45" i="13" s="1"/>
  <c r="AH45" i="13"/>
  <c r="W194" i="13"/>
  <c r="W61" i="13"/>
  <c r="I14" i="8"/>
  <c r="K14" i="8" s="1"/>
  <c r="H14" i="19" s="1"/>
  <c r="K32" i="8"/>
  <c r="V54" i="19"/>
  <c r="AE54" i="19" s="1"/>
  <c r="G57" i="19"/>
  <c r="AS238" i="13"/>
  <c r="AU238" i="13" s="1"/>
  <c r="AX239" i="7"/>
  <c r="AS21" i="13"/>
  <c r="AU21" i="13" s="1"/>
  <c r="AX22" i="7"/>
  <c r="N81" i="19"/>
  <c r="E95" i="18"/>
  <c r="V38" i="19"/>
  <c r="N47" i="19"/>
  <c r="E63" i="18"/>
  <c r="I63" i="18" s="1"/>
  <c r="K63" i="18" s="1"/>
  <c r="K9" i="18" s="1"/>
  <c r="Q47" i="19" s="1"/>
  <c r="K23" i="18"/>
  <c r="AS16" i="13"/>
  <c r="AU16" i="13" s="1"/>
  <c r="AX17" i="7"/>
  <c r="Z252" i="7"/>
  <c r="AB235" i="7"/>
  <c r="N18" i="19"/>
  <c r="N19" i="19" s="1"/>
  <c r="D9" i="23" s="1"/>
  <c r="E36" i="18"/>
  <c r="AG278" i="13"/>
  <c r="AH278" i="13"/>
  <c r="AG19" i="13"/>
  <c r="AI19" i="13" s="1"/>
  <c r="AN19" i="13" s="1"/>
  <c r="AA279" i="13"/>
  <c r="AF279" i="13" s="1"/>
  <c r="P38" i="8"/>
  <c r="I38" i="8"/>
  <c r="K38" i="8" s="1"/>
  <c r="AG292" i="7"/>
  <c r="AA309" i="7"/>
  <c r="AG170" i="13"/>
  <c r="AH170" i="13"/>
  <c r="AS135" i="13"/>
  <c r="AU135" i="13" s="1"/>
  <c r="AX136" i="7"/>
  <c r="AH19" i="13"/>
  <c r="AG33" i="13"/>
  <c r="AI33" i="13" s="1"/>
  <c r="AN33" i="13" s="1"/>
  <c r="AH33" i="13"/>
  <c r="X82" i="13"/>
  <c r="N65" i="19"/>
  <c r="E80" i="18"/>
  <c r="AS69" i="13"/>
  <c r="AU69" i="13" s="1"/>
  <c r="AX70" i="7"/>
  <c r="AS125" i="13"/>
  <c r="AU125" i="13" s="1"/>
  <c r="AX126" i="7"/>
  <c r="AS9" i="13"/>
  <c r="AU9" i="13" s="1"/>
  <c r="AX10" i="7"/>
  <c r="AO235" i="7"/>
  <c r="AI252" i="7"/>
  <c r="AA152" i="13"/>
  <c r="AF152" i="13" s="1"/>
  <c r="P25" i="8"/>
  <c r="I25" i="8"/>
  <c r="Z35" i="9"/>
  <c r="N16" i="9" s="1"/>
  <c r="E73" i="19" s="1"/>
  <c r="Y123" i="13"/>
  <c r="Z123" i="13"/>
  <c r="I59" i="18"/>
  <c r="AI259" i="13"/>
  <c r="AN259" i="13" s="1"/>
  <c r="AS65" i="13"/>
  <c r="AU65" i="13" s="1"/>
  <c r="AX66" i="7"/>
  <c r="AI36" i="13"/>
  <c r="AN36" i="13" s="1"/>
  <c r="G23" i="8"/>
  <c r="AI198" i="13"/>
  <c r="AN198" i="13" s="1"/>
  <c r="AO221" i="13"/>
  <c r="AP221" i="13"/>
  <c r="AO98" i="13"/>
  <c r="AQ98" i="13" s="1"/>
  <c r="AV98" i="13"/>
  <c r="AW98" i="13" s="1"/>
  <c r="AS71" i="13"/>
  <c r="AU71" i="13" s="1"/>
  <c r="AX72" i="7"/>
  <c r="AS121" i="13"/>
  <c r="AU121" i="13" s="1"/>
  <c r="AX122" i="7"/>
  <c r="P31" i="8"/>
  <c r="I31" i="8"/>
  <c r="X272" i="13"/>
  <c r="AS126" i="13"/>
  <c r="AU126" i="13" s="1"/>
  <c r="AX127" i="7"/>
  <c r="AS134" i="13"/>
  <c r="AU134" i="13" s="1"/>
  <c r="AX135" i="7"/>
  <c r="AS131" i="13"/>
  <c r="AU131" i="13" s="1"/>
  <c r="AX132" i="7"/>
  <c r="AS22" i="13"/>
  <c r="AU22" i="13" s="1"/>
  <c r="AX23" i="7"/>
  <c r="H16" i="23"/>
  <c r="F16" i="23"/>
  <c r="G16" i="23" s="1"/>
  <c r="N46" i="19"/>
  <c r="E62" i="18"/>
  <c r="AX225" i="13"/>
  <c r="AS244" i="13"/>
  <c r="AU244" i="13" s="1"/>
  <c r="AX245" i="7"/>
  <c r="AS18" i="13"/>
  <c r="AU18" i="13" s="1"/>
  <c r="AX19" i="7"/>
  <c r="AI167" i="13"/>
  <c r="AN167" i="13" s="1"/>
  <c r="BC57" i="8"/>
  <c r="AS61" i="8"/>
  <c r="AU57" i="8"/>
  <c r="T309" i="7"/>
  <c r="Z292" i="7"/>
  <c r="X139" i="13"/>
  <c r="AI199" i="13"/>
  <c r="AN199" i="13" s="1"/>
  <c r="AI40" i="13"/>
  <c r="AN40" i="13" s="1"/>
  <c r="AQ154" i="13"/>
  <c r="AV154" i="13" s="1"/>
  <c r="AQ146" i="13"/>
  <c r="AV146" i="13" s="1"/>
  <c r="AI256" i="13"/>
  <c r="AN256" i="13" s="1"/>
  <c r="AI248" i="13"/>
  <c r="AN248" i="13" s="1"/>
  <c r="BS59" i="8"/>
  <c r="BU59" i="8" s="1"/>
  <c r="BW59" i="8" s="1"/>
  <c r="AA133" i="13"/>
  <c r="AF133" i="13" s="1"/>
  <c r="AA76" i="13"/>
  <c r="AF76" i="13" s="1"/>
  <c r="AA9" i="13"/>
  <c r="AF9" i="13" s="1"/>
  <c r="AI49" i="13"/>
  <c r="AN49" i="13" s="1"/>
  <c r="AI222" i="13"/>
  <c r="AN222" i="13" s="1"/>
  <c r="AI265" i="13"/>
  <c r="AN265" i="13" s="1"/>
  <c r="AA246" i="13"/>
  <c r="AF246" i="13" s="1"/>
  <c r="AI173" i="13"/>
  <c r="AN173" i="13" s="1"/>
  <c r="AA66" i="13"/>
  <c r="AF66" i="13" s="1"/>
  <c r="AA240" i="13"/>
  <c r="AF240" i="13" s="1"/>
  <c r="AG37" i="13"/>
  <c r="AI37" i="13" s="1"/>
  <c r="AN37" i="13"/>
  <c r="AH37" i="13"/>
  <c r="AL36" i="9"/>
  <c r="T17" i="9" s="1"/>
  <c r="E112" i="19" s="1"/>
  <c r="AJ36" i="9"/>
  <c r="AO160" i="13"/>
  <c r="AQ160" i="13" s="1"/>
  <c r="AV160" i="13" s="1"/>
  <c r="AI26" i="7"/>
  <c r="AG43" i="7"/>
  <c r="AG237" i="13"/>
  <c r="AA208" i="13"/>
  <c r="AF208" i="13" s="1"/>
  <c r="AO268" i="13"/>
  <c r="N37" i="19"/>
  <c r="E54" i="18"/>
  <c r="I54" i="18" s="1"/>
  <c r="K54" i="18" s="1"/>
  <c r="H18" i="18" s="1"/>
  <c r="Q37" i="19" s="1"/>
  <c r="AC25" i="13"/>
  <c r="AB43" i="7"/>
  <c r="A78" i="18" s="1"/>
  <c r="F78" i="18" s="1"/>
  <c r="AH26" i="7"/>
  <c r="AP248" i="13"/>
  <c r="AS240" i="13"/>
  <c r="AU240" i="13" s="1"/>
  <c r="AX241" i="7"/>
  <c r="AG179" i="13"/>
  <c r="AH179" i="13"/>
  <c r="D57" i="19"/>
  <c r="V43" i="19"/>
  <c r="AG267" i="13"/>
  <c r="AI267" i="13" s="1"/>
  <c r="AN267" i="13" s="1"/>
  <c r="AH267" i="13"/>
  <c r="AG31" i="13"/>
  <c r="AH31" i="13"/>
  <c r="E16" i="25"/>
  <c r="AE91" i="19"/>
  <c r="Y239" i="13"/>
  <c r="AA239" i="13" s="1"/>
  <c r="AF239" i="13"/>
  <c r="Z239" i="13"/>
  <c r="AG261" i="13"/>
  <c r="AI261" i="13" s="1"/>
  <c r="AN261" i="13" s="1"/>
  <c r="AH261" i="13"/>
  <c r="Y73" i="13"/>
  <c r="AA73" i="13" s="1"/>
  <c r="AF73" i="13" s="1"/>
  <c r="Z73" i="13"/>
  <c r="S32" i="8"/>
  <c r="T32" i="8" s="1"/>
  <c r="W270" i="13"/>
  <c r="Z253" i="13"/>
  <c r="Z270" i="13" s="1"/>
  <c r="AG12" i="13"/>
  <c r="AI206" i="13"/>
  <c r="AN206" i="13" s="1"/>
  <c r="AO287" i="13"/>
  <c r="AQ287" i="13" s="1"/>
  <c r="AV287" i="13"/>
  <c r="AP287" i="13"/>
  <c r="AS11" i="13"/>
  <c r="AU11" i="13" s="1"/>
  <c r="AX12" i="7"/>
  <c r="BR61" i="8"/>
  <c r="AG190" i="13"/>
  <c r="AI190" i="13" s="1"/>
  <c r="AN190" i="13" s="1"/>
  <c r="AH190" i="13"/>
  <c r="AS15" i="13"/>
  <c r="AU15" i="13" s="1"/>
  <c r="AX16" i="7"/>
  <c r="AX98" i="13"/>
  <c r="AO35" i="13"/>
  <c r="AQ35" i="13" s="1"/>
  <c r="AV35" i="13"/>
  <c r="AW35" i="13" s="1"/>
  <c r="AE38" i="19"/>
  <c r="Q29" i="15"/>
  <c r="M66" i="14"/>
  <c r="Q66" i="14" s="1"/>
  <c r="AO161" i="13"/>
  <c r="AS242" i="13"/>
  <c r="AU242" i="13" s="1"/>
  <c r="AX243" i="7"/>
  <c r="E24" i="19"/>
  <c r="AG32" i="13"/>
  <c r="AI32" i="13" s="1"/>
  <c r="AN32" i="13" s="1"/>
  <c r="AH32" i="13"/>
  <c r="AS68" i="13"/>
  <c r="AU68" i="13" s="1"/>
  <c r="AX69" i="7"/>
  <c r="AS247" i="13"/>
  <c r="AU247" i="13" s="1"/>
  <c r="AX248" i="7"/>
  <c r="AO41" i="13"/>
  <c r="AQ41" i="13" s="1"/>
  <c r="AV41" i="13" s="1"/>
  <c r="AO273" i="7"/>
  <c r="AI290" i="7"/>
  <c r="Z272" i="13"/>
  <c r="Z289" i="13" s="1"/>
  <c r="W289" i="13"/>
  <c r="Z81" i="7"/>
  <c r="AB64" i="7"/>
  <c r="AX94" i="13"/>
  <c r="W42" i="13"/>
  <c r="AO75" i="13"/>
  <c r="AQ75" i="13" s="1"/>
  <c r="AV75" i="13" s="1"/>
  <c r="AG64" i="13"/>
  <c r="AG176" i="7"/>
  <c r="AI159" i="7"/>
  <c r="AC177" i="13"/>
  <c r="AH178" i="7"/>
  <c r="AB195" i="7"/>
  <c r="A85" i="18" s="1"/>
  <c r="F85" i="18" s="1"/>
  <c r="AA88" i="13"/>
  <c r="AF88" i="13" s="1"/>
  <c r="X215" i="13"/>
  <c r="P39" i="8"/>
  <c r="I39" i="8"/>
  <c r="K39" i="8" s="1"/>
  <c r="I44" i="18"/>
  <c r="AQ282" i="13"/>
  <c r="AV282" i="13" s="1"/>
  <c r="AO178" i="7"/>
  <c r="AI195" i="7"/>
  <c r="M84" i="14"/>
  <c r="Q84" i="14" s="1"/>
  <c r="R28" i="15"/>
  <c r="M103" i="14" s="1"/>
  <c r="Q103" i="14" s="1"/>
  <c r="S137" i="13"/>
  <c r="L30" i="12" s="1"/>
  <c r="N30" i="12" s="1"/>
  <c r="H10" i="12" s="1"/>
  <c r="K29" i="19" s="1"/>
  <c r="X120" i="13"/>
  <c r="AG24" i="7"/>
  <c r="AI7" i="7"/>
  <c r="AO183" i="13"/>
  <c r="AQ183" i="13" s="1"/>
  <c r="AV183" i="13" s="1"/>
  <c r="AP183" i="13"/>
  <c r="AV132" i="13"/>
  <c r="AW132" i="13" s="1"/>
  <c r="AO132" i="13"/>
  <c r="AQ132" i="13" s="1"/>
  <c r="AO47" i="13"/>
  <c r="AQ47" i="13" s="1"/>
  <c r="AV47" i="13"/>
  <c r="AW47" i="13" s="1"/>
  <c r="AO147" i="13"/>
  <c r="AQ147" i="13" s="1"/>
  <c r="AV147" i="13" s="1"/>
  <c r="E35" i="25"/>
  <c r="AE110" i="19"/>
  <c r="Y243" i="13"/>
  <c r="Z243" i="13"/>
  <c r="N29" i="19"/>
  <c r="E46" i="18"/>
  <c r="I46" i="18" s="1"/>
  <c r="K46" i="18" s="1"/>
  <c r="H10" i="18" s="1"/>
  <c r="Q29" i="19" s="1"/>
  <c r="Y69" i="13"/>
  <c r="Z69" i="13"/>
  <c r="N38" i="12"/>
  <c r="H18" i="12" s="1"/>
  <c r="K37" i="19" s="1"/>
  <c r="S38" i="8"/>
  <c r="S39" i="8"/>
  <c r="AS236" i="13"/>
  <c r="AU236" i="13" s="1"/>
  <c r="AX237" i="7"/>
  <c r="AH64" i="13"/>
  <c r="AP41" i="13"/>
  <c r="W99" i="13"/>
  <c r="Z82" i="13"/>
  <c r="Z99" i="13" s="1"/>
  <c r="AP161" i="13"/>
  <c r="AG124" i="13"/>
  <c r="AI124" i="13" s="1"/>
  <c r="AN124" i="13"/>
  <c r="H5" i="18"/>
  <c r="W156" i="13"/>
  <c r="Z139" i="13"/>
  <c r="Z156" i="13" s="1"/>
  <c r="AJ32" i="9"/>
  <c r="AL32" i="9" s="1"/>
  <c r="T13" i="9" s="1"/>
  <c r="E108" i="19" s="1"/>
  <c r="AS7" i="13"/>
  <c r="AU7" i="13" s="1"/>
  <c r="AX8" i="7"/>
  <c r="AA122" i="13"/>
  <c r="AF122" i="13" s="1"/>
  <c r="P29" i="8"/>
  <c r="I29" i="8"/>
  <c r="AI280" i="13"/>
  <c r="AN280" i="13" s="1"/>
  <c r="AI86" i="13"/>
  <c r="AN86" i="13" s="1"/>
  <c r="AO169" i="13"/>
  <c r="AQ169" i="13" s="1"/>
  <c r="AV169" i="13"/>
  <c r="AW169" i="13" s="1"/>
  <c r="AQ96" i="13"/>
  <c r="AV96" i="13" s="1"/>
  <c r="AW96" i="13" s="1"/>
  <c r="AI227" i="13"/>
  <c r="AN227" i="13" s="1"/>
  <c r="AO210" i="13"/>
  <c r="AQ210" i="13" s="1"/>
  <c r="AV210" i="13"/>
  <c r="AP210" i="13"/>
  <c r="AY182" i="13"/>
  <c r="AY216" i="13"/>
  <c r="AG72" i="13"/>
  <c r="AI72" i="13" s="1"/>
  <c r="AN72" i="13" s="1"/>
  <c r="AI143" i="13"/>
  <c r="AN143" i="13" s="1"/>
  <c r="AQ48" i="13"/>
  <c r="AV48" i="13" s="1"/>
  <c r="AW48" i="13" s="1"/>
  <c r="AO59" i="13"/>
  <c r="AQ59" i="13" s="1"/>
  <c r="AV59" i="13" s="1"/>
  <c r="AI29" i="13"/>
  <c r="AN29" i="13" s="1"/>
  <c r="I24" i="8"/>
  <c r="P24" i="8"/>
  <c r="AS66" i="13"/>
  <c r="AU66" i="13" s="1"/>
  <c r="AX67" i="7"/>
  <c r="AO26" i="13"/>
  <c r="AQ26" i="13" s="1"/>
  <c r="AV26" i="13"/>
  <c r="AW26" i="13" s="1"/>
  <c r="AG134" i="13"/>
  <c r="AG28" i="13"/>
  <c r="AI28" i="13" s="1"/>
  <c r="AN28" i="13" s="1"/>
  <c r="AH28" i="13"/>
  <c r="AC215" i="13"/>
  <c r="AH216" i="7"/>
  <c r="AB233" i="7"/>
  <c r="A87" i="18" s="1"/>
  <c r="F87" i="18" s="1"/>
  <c r="AS70" i="13"/>
  <c r="AU70" i="13" s="1"/>
  <c r="AX71" i="7"/>
  <c r="AV185" i="13"/>
  <c r="AW185" i="13" s="1"/>
  <c r="AO185" i="13"/>
  <c r="AQ185" i="13" s="1"/>
  <c r="AG8" i="13"/>
  <c r="AI8" i="13" s="1"/>
  <c r="AN8" i="13" s="1"/>
  <c r="AG255" i="13"/>
  <c r="AH255" i="13"/>
  <c r="AO216" i="7"/>
  <c r="AI233" i="7"/>
  <c r="AG85" i="13"/>
  <c r="AI85" i="13" s="1"/>
  <c r="AN85" i="13"/>
  <c r="AH85" i="13"/>
  <c r="AS245" i="13"/>
  <c r="AU245" i="13" s="1"/>
  <c r="AX246" i="7"/>
  <c r="AS136" i="13"/>
  <c r="AU136" i="13" s="1"/>
  <c r="AX137" i="7"/>
  <c r="AO231" i="13"/>
  <c r="AQ231" i="13" s="1"/>
  <c r="AV231" i="13"/>
  <c r="AW231" i="13" s="1"/>
  <c r="AF36" i="9"/>
  <c r="Q17" i="9" s="1"/>
  <c r="E93" i="19" s="1"/>
  <c r="Z24" i="7"/>
  <c r="AB7" i="7"/>
  <c r="AX203" i="13"/>
  <c r="AS128" i="13"/>
  <c r="AU128" i="13" s="1"/>
  <c r="AX129" i="7"/>
  <c r="AS14" i="13"/>
  <c r="AU14" i="13" s="1"/>
  <c r="AX15" i="7"/>
  <c r="P31" i="15"/>
  <c r="T56" i="14"/>
  <c r="Y56" i="14" s="1"/>
  <c r="Y20" i="13"/>
  <c r="AA20" i="13" s="1"/>
  <c r="AF20" i="13"/>
  <c r="Z20" i="13"/>
  <c r="W175" i="13"/>
  <c r="AG164" i="13"/>
  <c r="AH164" i="13"/>
  <c r="AG74" i="13"/>
  <c r="AI74" i="13" s="1"/>
  <c r="AN74" i="13" s="1"/>
  <c r="E17" i="21"/>
  <c r="G17" i="21" s="1"/>
  <c r="AF17" i="19"/>
  <c r="Y17" i="13"/>
  <c r="AA17" i="13" s="1"/>
  <c r="AF17" i="13" s="1"/>
  <c r="Z17" i="13"/>
  <c r="AP268" i="13"/>
  <c r="AA228" i="13"/>
  <c r="AF228" i="13" s="1"/>
  <c r="AG257" i="13"/>
  <c r="AI257" i="13" s="1"/>
  <c r="AN257" i="13"/>
  <c r="AH257" i="13"/>
  <c r="AX35" i="13"/>
  <c r="H21" i="3"/>
  <c r="H22" i="3" s="1"/>
  <c r="H24" i="3" s="1"/>
  <c r="AS10" i="13"/>
  <c r="AU10" i="13" s="1"/>
  <c r="AX11" i="7"/>
  <c r="AS72" i="13"/>
  <c r="AU72" i="13" s="1"/>
  <c r="AX73" i="7"/>
  <c r="AI202" i="13"/>
  <c r="AN202" i="13" s="1"/>
  <c r="Y241" i="13"/>
  <c r="Z241" i="13"/>
  <c r="AP11" i="13"/>
  <c r="AX285" i="13"/>
  <c r="AX48" i="13"/>
  <c r="U251" i="13"/>
  <c r="W234" i="13"/>
  <c r="AS237" i="13"/>
  <c r="AU237" i="13" s="1"/>
  <c r="AX238" i="7"/>
  <c r="AS133" i="13"/>
  <c r="AU133" i="13" s="1"/>
  <c r="AX134" i="7"/>
  <c r="U80" i="13"/>
  <c r="W63" i="13"/>
  <c r="AG271" i="7"/>
  <c r="AI254" i="7"/>
  <c r="AI168" i="13"/>
  <c r="AN168" i="13" s="1"/>
  <c r="AQ201" i="13"/>
  <c r="AV201" i="13" s="1"/>
  <c r="AG130" i="13"/>
  <c r="AG264" i="13"/>
  <c r="AH264" i="13"/>
  <c r="AI121" i="7"/>
  <c r="AG138" i="7"/>
  <c r="X177" i="13"/>
  <c r="P36" i="8"/>
  <c r="I36" i="8"/>
  <c r="X158" i="13"/>
  <c r="Z158" i="13" s="1"/>
  <c r="Z175" i="13" s="1"/>
  <c r="N38" i="19"/>
  <c r="L9" i="23" s="1"/>
  <c r="AA223" i="13"/>
  <c r="AF223" i="13" s="1"/>
  <c r="Y127" i="13"/>
  <c r="Z127" i="13"/>
  <c r="Y253" i="13"/>
  <c r="AA253" i="13" s="1"/>
  <c r="AA129" i="13"/>
  <c r="AF129" i="13" s="1"/>
  <c r="AG197" i="13"/>
  <c r="AI197" i="13" s="1"/>
  <c r="AN197" i="13" s="1"/>
  <c r="AH197" i="13"/>
  <c r="AS73" i="13"/>
  <c r="AU73" i="13" s="1"/>
  <c r="AX74" i="7"/>
  <c r="S23" i="13"/>
  <c r="L25" i="12" s="1"/>
  <c r="X6" i="13"/>
  <c r="AI162" i="13"/>
  <c r="AN162" i="13" s="1"/>
  <c r="AG277" i="13"/>
  <c r="AH277" i="13"/>
  <c r="AS78" i="13"/>
  <c r="AU78" i="13" s="1"/>
  <c r="AX79" i="7"/>
  <c r="AS74" i="13"/>
  <c r="AU74" i="13" s="1"/>
  <c r="AX75" i="7"/>
  <c r="K5" i="19"/>
  <c r="AG151" i="13"/>
  <c r="AH151" i="13"/>
  <c r="P30" i="15"/>
  <c r="T48" i="14"/>
  <c r="Y48" i="14" s="1"/>
  <c r="AC44" i="13"/>
  <c r="AB62" i="7"/>
  <c r="A79" i="18" s="1"/>
  <c r="F79" i="18" s="1"/>
  <c r="AH45" i="7"/>
  <c r="AS67" i="13"/>
  <c r="AU67" i="13" s="1"/>
  <c r="AX68" i="7"/>
  <c r="AC253" i="13"/>
  <c r="AB271" i="7"/>
  <c r="A89" i="18" s="1"/>
  <c r="F89" i="18" s="1"/>
  <c r="AH254" i="7"/>
  <c r="AS129" i="13"/>
  <c r="AU129" i="13" s="1"/>
  <c r="AX130" i="7"/>
  <c r="T38" i="14"/>
  <c r="Y38" i="14" s="1"/>
  <c r="AS8" i="13"/>
  <c r="AU8" i="13" s="1"/>
  <c r="AX9" i="7"/>
  <c r="P251" i="13"/>
  <c r="Q234" i="13"/>
  <c r="S234" i="13" s="1"/>
  <c r="S251" i="13" s="1"/>
  <c r="L36" i="12" s="1"/>
  <c r="N36" i="12" s="1"/>
  <c r="H16" i="12" s="1"/>
  <c r="K35" i="19" s="1"/>
  <c r="AS19" i="13"/>
  <c r="AU19" i="13" s="1"/>
  <c r="AX20" i="7"/>
  <c r="AS124" i="13"/>
  <c r="AU124" i="13" s="1"/>
  <c r="AX125" i="7"/>
  <c r="P80" i="13"/>
  <c r="Q63" i="13"/>
  <c r="S63" i="13" s="1"/>
  <c r="S80" i="13" s="1"/>
  <c r="L28" i="12" s="1"/>
  <c r="N28" i="12" s="1"/>
  <c r="H8" i="12" s="1"/>
  <c r="K27" i="19" s="1"/>
  <c r="X63" i="13"/>
  <c r="AG142" i="13"/>
  <c r="AI142" i="13" s="1"/>
  <c r="AN142" i="13" s="1"/>
  <c r="AH142" i="13"/>
  <c r="Y77" i="13"/>
  <c r="Z77" i="13"/>
  <c r="W232" i="13"/>
  <c r="Z215" i="13"/>
  <c r="Z232" i="13" s="1"/>
  <c r="AA126" i="13"/>
  <c r="AF126" i="13" s="1"/>
  <c r="W213" i="13"/>
  <c r="Z196" i="13"/>
  <c r="Z213" i="13" s="1"/>
  <c r="AH130" i="13"/>
  <c r="Y249" i="13"/>
  <c r="AA249" i="13" s="1"/>
  <c r="AF249" i="13" s="1"/>
  <c r="Z249" i="13"/>
  <c r="S44" i="13"/>
  <c r="AJ40" i="9"/>
  <c r="AL40" i="9" s="1"/>
  <c r="AJ38" i="9"/>
  <c r="AL38" i="9" s="1"/>
  <c r="T18" i="9" s="1"/>
  <c r="E113" i="19" s="1"/>
  <c r="R24" i="9"/>
  <c r="T24" i="9" s="1"/>
  <c r="AS13" i="13"/>
  <c r="AU13" i="13" s="1"/>
  <c r="AX14" i="7"/>
  <c r="AI276" i="13"/>
  <c r="AN276" i="13" s="1"/>
  <c r="Y196" i="13"/>
  <c r="AA196" i="13" s="1"/>
  <c r="AA213" i="13" s="1"/>
  <c r="R34" i="12" s="1"/>
  <c r="T34" i="12" s="1"/>
  <c r="K14" i="12" s="1"/>
  <c r="K52" i="19" s="1"/>
  <c r="X213" i="13"/>
  <c r="AF32" i="9"/>
  <c r="Q13" i="9" s="1"/>
  <c r="E89" i="19" s="1"/>
  <c r="AI64" i="7"/>
  <c r="AG81" i="7"/>
  <c r="AS79" i="13"/>
  <c r="AU79" i="13" s="1"/>
  <c r="AX80" i="7"/>
  <c r="AM23" i="13"/>
  <c r="AI184" i="13"/>
  <c r="AN184" i="13" s="1"/>
  <c r="AI128" i="13"/>
  <c r="AN128" i="13" s="1"/>
  <c r="AQ172" i="13"/>
  <c r="AV172" i="13" s="1"/>
  <c r="AW172" i="13" s="1"/>
  <c r="AI229" i="13"/>
  <c r="AN229" i="13" s="1"/>
  <c r="AI84" i="13"/>
  <c r="AN84" i="13" s="1"/>
  <c r="AI39" i="13"/>
  <c r="AN39" i="13" s="1"/>
  <c r="AI211" i="13"/>
  <c r="AN211" i="13" s="1"/>
  <c r="AI193" i="13"/>
  <c r="AN193" i="13" s="1"/>
  <c r="AI180" i="13"/>
  <c r="AN180" i="13" s="1"/>
  <c r="AI148" i="13"/>
  <c r="AN148" i="13" s="1"/>
  <c r="X35" i="8"/>
  <c r="V17" i="8"/>
  <c r="X17" i="8" s="1"/>
  <c r="H36" i="19" s="1"/>
  <c r="W36" i="19" s="1"/>
  <c r="AG91" i="13"/>
  <c r="AI91" i="13" s="1"/>
  <c r="AN91" i="13" s="1"/>
  <c r="AH91" i="13"/>
  <c r="AS241" i="13"/>
  <c r="AU241" i="13" s="1"/>
  <c r="AX242" i="7"/>
  <c r="AS127" i="13"/>
  <c r="AU127" i="13" s="1"/>
  <c r="AX128" i="7"/>
  <c r="AS64" i="13"/>
  <c r="AU64" i="13" s="1"/>
  <c r="AX65" i="7"/>
  <c r="AO153" i="13"/>
  <c r="AG235" i="13"/>
  <c r="AH235" i="13"/>
  <c r="AO205" i="13"/>
  <c r="AQ205" i="13" s="1"/>
  <c r="AV205" i="13" s="1"/>
  <c r="Y10" i="13"/>
  <c r="AA10" i="13" s="1"/>
  <c r="AF10" i="13" s="1"/>
  <c r="Z10" i="13"/>
  <c r="AP153" i="13"/>
  <c r="AH237" i="13"/>
  <c r="Z138" i="7"/>
  <c r="AB121" i="7"/>
  <c r="AO163" i="13"/>
  <c r="AQ163" i="13" s="1"/>
  <c r="AV163" i="13" s="1"/>
  <c r="AS239" i="13"/>
  <c r="AU239" i="13" s="1"/>
  <c r="AX240" i="7"/>
  <c r="AI83" i="7"/>
  <c r="AG100" i="7"/>
  <c r="AO78" i="13"/>
  <c r="AQ78" i="13" s="1"/>
  <c r="AV78" i="13" s="1"/>
  <c r="AW78" i="13" s="1"/>
  <c r="N83" i="19"/>
  <c r="E97" i="18"/>
  <c r="AG149" i="13"/>
  <c r="AH149" i="13"/>
  <c r="AG18" i="13"/>
  <c r="AI18" i="13" s="1"/>
  <c r="AN18" i="13" s="1"/>
  <c r="AS123" i="13"/>
  <c r="AU123" i="13" s="1"/>
  <c r="AX124" i="7"/>
  <c r="AN242" i="13"/>
  <c r="AP242" i="13" s="1"/>
  <c r="AG242" i="13"/>
  <c r="AI242" i="13" s="1"/>
  <c r="AG52" i="13"/>
  <c r="AI52" i="13" s="1"/>
  <c r="AN52" i="13" s="1"/>
  <c r="AH52" i="13"/>
  <c r="AS249" i="13"/>
  <c r="AU249" i="13" s="1"/>
  <c r="AX250" i="7"/>
  <c r="AS76" i="13"/>
  <c r="AU76" i="13" s="1"/>
  <c r="AX77" i="7"/>
  <c r="I30" i="8"/>
  <c r="P30" i="8"/>
  <c r="AY225" i="13"/>
  <c r="AG181" i="13"/>
  <c r="AH181" i="13"/>
  <c r="AC82" i="13"/>
  <c r="AB100" i="7"/>
  <c r="A81" i="18" s="1"/>
  <c r="F81" i="18" s="1"/>
  <c r="AH83" i="7"/>
  <c r="AG192" i="13"/>
  <c r="AH192" i="13"/>
  <c r="P27" i="8"/>
  <c r="I27" i="8"/>
  <c r="AO207" i="13"/>
  <c r="AQ207" i="13" s="1"/>
  <c r="AV207" i="13"/>
  <c r="AW207" i="13" s="1"/>
  <c r="AC139" i="13"/>
  <c r="AB157" i="7"/>
  <c r="A83" i="18" s="1"/>
  <c r="F83" i="18" s="1"/>
  <c r="AH140" i="7"/>
  <c r="AS20" i="13"/>
  <c r="AU20" i="13" s="1"/>
  <c r="AX21" i="7"/>
  <c r="Y125" i="13"/>
  <c r="AA125" i="13" s="1"/>
  <c r="AF125" i="13" s="1"/>
  <c r="Z125" i="13"/>
  <c r="AG220" i="13"/>
  <c r="AH220" i="13"/>
  <c r="AI171" i="13"/>
  <c r="AN171" i="13" s="1"/>
  <c r="AX30" i="13"/>
  <c r="AY30" i="13" s="1"/>
  <c r="AG13" i="13"/>
  <c r="AI13" i="13" s="1"/>
  <c r="AN13" i="13"/>
  <c r="AP13" i="13" s="1"/>
  <c r="AI224" i="13"/>
  <c r="AN224" i="13" s="1"/>
  <c r="Y236" i="13"/>
  <c r="AA236" i="13" s="1"/>
  <c r="AF236" i="13" s="1"/>
  <c r="Z236" i="13"/>
  <c r="AO197" i="7"/>
  <c r="AI214" i="7"/>
  <c r="AY285" i="13"/>
  <c r="G81" i="19"/>
  <c r="P37" i="8"/>
  <c r="I37" i="8"/>
  <c r="K37" i="8" s="1"/>
  <c r="AN67" i="13"/>
  <c r="AG67" i="13"/>
  <c r="AI67" i="13" s="1"/>
  <c r="AS77" i="13"/>
  <c r="AU77" i="13" s="1"/>
  <c r="AX78" i="7"/>
  <c r="AH134" i="13"/>
  <c r="AG90" i="13"/>
  <c r="AH90" i="13"/>
  <c r="AI217" i="13"/>
  <c r="AN217" i="13" s="1"/>
  <c r="N100" i="19"/>
  <c r="E113" i="18"/>
  <c r="AA22" i="13"/>
  <c r="AF22" i="13" s="1"/>
  <c r="AI140" i="7"/>
  <c r="AG157" i="7"/>
  <c r="AF35" i="9"/>
  <c r="Q16" i="9" s="1"/>
  <c r="E92" i="19" s="1"/>
  <c r="AD35" i="9"/>
  <c r="AG35" i="9" s="1"/>
  <c r="AI144" i="13"/>
  <c r="AN144" i="13" s="1"/>
  <c r="AP78" i="13"/>
  <c r="AC158" i="13"/>
  <c r="AB176" i="7"/>
  <c r="A84" i="18" s="1"/>
  <c r="F84" i="18" s="1"/>
  <c r="AH159" i="7"/>
  <c r="AG21" i="13"/>
  <c r="AI21" i="13" s="1"/>
  <c r="AN21" i="13"/>
  <c r="AO200" i="13"/>
  <c r="AQ200" i="13" s="1"/>
  <c r="AV200" i="13" s="1"/>
  <c r="C41" i="9"/>
  <c r="H33" i="9"/>
  <c r="F33" i="9"/>
  <c r="AX169" i="13"/>
  <c r="X25" i="13"/>
  <c r="Z25" i="13" s="1"/>
  <c r="Z42" i="13" s="1"/>
  <c r="AH12" i="13"/>
  <c r="AS246" i="13"/>
  <c r="AU246" i="13" s="1"/>
  <c r="AX247" i="7"/>
  <c r="AS250" i="13"/>
  <c r="AU250" i="13" s="1"/>
  <c r="AX251" i="7"/>
  <c r="AG230" i="13"/>
  <c r="AH230" i="13"/>
  <c r="H36" i="12"/>
  <c r="E16" i="12" s="1"/>
  <c r="K16" i="19" s="1"/>
  <c r="F34" i="8"/>
  <c r="G34" i="8" s="1"/>
  <c r="AA46" i="9"/>
  <c r="X63" i="9"/>
  <c r="AP124" i="13"/>
  <c r="H28" i="12"/>
  <c r="E8" i="12" s="1"/>
  <c r="K8" i="19" s="1"/>
  <c r="F26" i="8"/>
  <c r="G26" i="8" s="1"/>
  <c r="AG62" i="7"/>
  <c r="AI45" i="7"/>
  <c r="AG244" i="13"/>
  <c r="AI244" i="13" s="1"/>
  <c r="AN244" i="13"/>
  <c r="AP244" i="13" s="1"/>
  <c r="T57" i="14"/>
  <c r="Y57" i="14" s="1"/>
  <c r="AO219" i="13"/>
  <c r="AQ219" i="13" s="1"/>
  <c r="AV219" i="13" s="1"/>
  <c r="AG56" i="13"/>
  <c r="AH56" i="13"/>
  <c r="AC272" i="13"/>
  <c r="AB290" i="7"/>
  <c r="A90" i="18" s="1"/>
  <c r="F90" i="18" s="1"/>
  <c r="AH273" i="7"/>
  <c r="AS17" i="13"/>
  <c r="AU17" i="13" s="1"/>
  <c r="AX18" i="7"/>
  <c r="AP79" i="13"/>
  <c r="AI34" i="13"/>
  <c r="AN34" i="13" s="1"/>
  <c r="AG14" i="13"/>
  <c r="AI14" i="13" s="1"/>
  <c r="AN14" i="13" s="1"/>
  <c r="AI53" i="13"/>
  <c r="AN53" i="13" s="1"/>
  <c r="E36" i="25"/>
  <c r="AE111" i="19"/>
  <c r="AI165" i="13"/>
  <c r="AN165" i="13" s="1"/>
  <c r="AA7" i="13"/>
  <c r="AF7" i="13" s="1"/>
  <c r="AW187" i="13" l="1"/>
  <c r="AX187" i="13"/>
  <c r="AI186" i="13"/>
  <c r="AN186" i="13" s="1"/>
  <c r="AC32" i="8"/>
  <c r="V32" i="8"/>
  <c r="AW200" i="13"/>
  <c r="AY200" i="13" s="1"/>
  <c r="AX200" i="13"/>
  <c r="AO52" i="13"/>
  <c r="AP52" i="13"/>
  <c r="AO197" i="13"/>
  <c r="AQ197" i="13" s="1"/>
  <c r="AV197" i="13" s="1"/>
  <c r="AP197" i="13"/>
  <c r="AO28" i="13"/>
  <c r="AP28" i="13"/>
  <c r="AO72" i="13"/>
  <c r="AQ72" i="13" s="1"/>
  <c r="AV72" i="13" s="1"/>
  <c r="AP72" i="13"/>
  <c r="AO14" i="13"/>
  <c r="AP14" i="13"/>
  <c r="AO18" i="13"/>
  <c r="AQ18" i="13" s="1"/>
  <c r="AV18" i="13"/>
  <c r="AW18" i="13" s="1"/>
  <c r="AP18" i="13"/>
  <c r="AG10" i="13"/>
  <c r="AH10" i="13"/>
  <c r="AO91" i="13"/>
  <c r="AP91" i="13"/>
  <c r="K5" i="9"/>
  <c r="AO74" i="13"/>
  <c r="AP74" i="13"/>
  <c r="AW59" i="13"/>
  <c r="AX59" i="13"/>
  <c r="AW147" i="13"/>
  <c r="AY147" i="13" s="1"/>
  <c r="AX147" i="13"/>
  <c r="AW41" i="13"/>
  <c r="AY41" i="13" s="1"/>
  <c r="AX41" i="13"/>
  <c r="AO190" i="13"/>
  <c r="AQ190" i="13" s="1"/>
  <c r="AV190" i="13" s="1"/>
  <c r="AP190" i="13"/>
  <c r="AW160" i="13"/>
  <c r="AX160" i="13"/>
  <c r="AO33" i="13"/>
  <c r="AQ33" i="13" s="1"/>
  <c r="AV33" i="13" s="1"/>
  <c r="AP33" i="13"/>
  <c r="AO57" i="13"/>
  <c r="AP57" i="13"/>
  <c r="AW159" i="13"/>
  <c r="AX159" i="13"/>
  <c r="AO71" i="13"/>
  <c r="AQ71" i="13" s="1"/>
  <c r="AV71" i="13" s="1"/>
  <c r="AP71" i="13"/>
  <c r="AW269" i="13"/>
  <c r="AY269" i="13" s="1"/>
  <c r="AX269" i="13"/>
  <c r="AW145" i="13"/>
  <c r="AY145" i="13" s="1"/>
  <c r="AX145" i="13"/>
  <c r="AW204" i="13"/>
  <c r="AY204" i="13" s="1"/>
  <c r="AX204" i="13"/>
  <c r="AW205" i="13"/>
  <c r="AX205" i="13"/>
  <c r="AO261" i="13"/>
  <c r="AQ261" i="13" s="1"/>
  <c r="AV261" i="13"/>
  <c r="AP261" i="13"/>
  <c r="AO45" i="13"/>
  <c r="AQ45" i="13" s="1"/>
  <c r="AV45" i="13" s="1"/>
  <c r="AP45" i="13"/>
  <c r="AW188" i="13"/>
  <c r="AY188" i="13" s="1"/>
  <c r="AX188" i="13"/>
  <c r="AW27" i="13"/>
  <c r="AY27" i="13" s="1"/>
  <c r="AX27" i="13"/>
  <c r="AO250" i="13"/>
  <c r="AP250" i="13"/>
  <c r="AO186" i="13"/>
  <c r="AP186" i="13"/>
  <c r="AW281" i="13"/>
  <c r="AY281" i="13" s="1"/>
  <c r="AX281" i="13"/>
  <c r="AG236" i="13"/>
  <c r="AH236" i="13"/>
  <c r="AG249" i="13"/>
  <c r="AH249" i="13"/>
  <c r="AG17" i="13"/>
  <c r="AH17" i="13"/>
  <c r="AW219" i="13"/>
  <c r="AY219" i="13" s="1"/>
  <c r="AX219" i="13"/>
  <c r="AG125" i="13"/>
  <c r="AH125" i="13"/>
  <c r="AW163" i="13"/>
  <c r="AX163" i="13"/>
  <c r="AO8" i="13"/>
  <c r="AQ8" i="13" s="1"/>
  <c r="AV8" i="13" s="1"/>
  <c r="AP8" i="13"/>
  <c r="AW183" i="13"/>
  <c r="AY183" i="13" s="1"/>
  <c r="AX183" i="13"/>
  <c r="AO32" i="13"/>
  <c r="AP32" i="13"/>
  <c r="AO267" i="13"/>
  <c r="AQ267" i="13" s="1"/>
  <c r="AV267" i="13"/>
  <c r="AP267" i="13"/>
  <c r="AW212" i="13"/>
  <c r="AY212" i="13" s="1"/>
  <c r="AX212" i="13"/>
  <c r="AO70" i="13"/>
  <c r="AP70" i="13"/>
  <c r="AW263" i="13"/>
  <c r="AX263" i="13"/>
  <c r="AW150" i="13"/>
  <c r="AX150" i="13"/>
  <c r="AO142" i="13"/>
  <c r="AQ142" i="13" s="1"/>
  <c r="AV142" i="13" s="1"/>
  <c r="AP142" i="13"/>
  <c r="AW75" i="13"/>
  <c r="AY75" i="13" s="1"/>
  <c r="AX75" i="13"/>
  <c r="AG73" i="13"/>
  <c r="AH73" i="13"/>
  <c r="AO19" i="13"/>
  <c r="AQ19" i="13" s="1"/>
  <c r="AV19" i="13" s="1"/>
  <c r="AP19" i="13"/>
  <c r="AO218" i="13"/>
  <c r="AP218" i="13"/>
  <c r="AG245" i="13"/>
  <c r="AI245" i="13" s="1"/>
  <c r="AN245" i="13" s="1"/>
  <c r="AH245" i="13"/>
  <c r="AO274" i="13"/>
  <c r="AP274" i="13"/>
  <c r="AW275" i="13"/>
  <c r="AX275" i="13"/>
  <c r="AW58" i="13"/>
  <c r="AX58" i="13"/>
  <c r="AO38" i="13"/>
  <c r="AQ38" i="13" s="1"/>
  <c r="AV38" i="13"/>
  <c r="AP38" i="13"/>
  <c r="AO247" i="13"/>
  <c r="AP247" i="13"/>
  <c r="AO165" i="13"/>
  <c r="AP165" i="13"/>
  <c r="AO45" i="7"/>
  <c r="AI62" i="7"/>
  <c r="AC175" i="13"/>
  <c r="AE158" i="13"/>
  <c r="AI157" i="7"/>
  <c r="AO140" i="7"/>
  <c r="AO67" i="13"/>
  <c r="AO224" i="13"/>
  <c r="AQ224" i="13" s="1"/>
  <c r="AV224" i="13" s="1"/>
  <c r="AP224" i="13"/>
  <c r="K27" i="8"/>
  <c r="I9" i="8"/>
  <c r="K9" i="8" s="1"/>
  <c r="H9" i="19" s="1"/>
  <c r="W9" i="19" s="1"/>
  <c r="P34" i="8"/>
  <c r="I34" i="8"/>
  <c r="AI230" i="13"/>
  <c r="AN230" i="13" s="1"/>
  <c r="AP67" i="13"/>
  <c r="AJ35" i="9"/>
  <c r="AL35" i="9" s="1"/>
  <c r="T16" i="9" s="1"/>
  <c r="E111" i="19" s="1"/>
  <c r="AO171" i="13"/>
  <c r="AQ171" i="13" s="1"/>
  <c r="AV171" i="13" s="1"/>
  <c r="AP171" i="13"/>
  <c r="AJ140" i="7"/>
  <c r="AH157" i="7"/>
  <c r="T27" i="8"/>
  <c r="AC27" i="8" s="1"/>
  <c r="S27" i="8"/>
  <c r="V27" i="8"/>
  <c r="AJ83" i="7"/>
  <c r="AH100" i="7"/>
  <c r="I12" i="8"/>
  <c r="K12" i="8" s="1"/>
  <c r="H12" i="19" s="1"/>
  <c r="W12" i="19" s="1"/>
  <c r="K30" i="8"/>
  <c r="AQ153" i="13"/>
  <c r="AV153" i="13" s="1"/>
  <c r="AO211" i="13"/>
  <c r="AP211" i="13"/>
  <c r="AF196" i="13"/>
  <c r="AX207" i="13"/>
  <c r="AC61" i="13"/>
  <c r="AE44" i="13"/>
  <c r="AX78" i="13"/>
  <c r="AY78" i="13" s="1"/>
  <c r="AO162" i="13"/>
  <c r="AQ162" i="13" s="1"/>
  <c r="AV162" i="13" s="1"/>
  <c r="AP162" i="13"/>
  <c r="AX231" i="13"/>
  <c r="AA127" i="13"/>
  <c r="AF127" i="13" s="1"/>
  <c r="I18" i="8"/>
  <c r="K18" i="8" s="1"/>
  <c r="H18" i="19" s="1"/>
  <c r="K36" i="8"/>
  <c r="AI138" i="7"/>
  <c r="AO121" i="7"/>
  <c r="AO254" i="7"/>
  <c r="AI271" i="7"/>
  <c r="AO202" i="13"/>
  <c r="AP202" i="13"/>
  <c r="Q31" i="15"/>
  <c r="M75" i="14"/>
  <c r="Q75" i="14" s="1"/>
  <c r="AO233" i="7"/>
  <c r="AQ216" i="7"/>
  <c r="AC232" i="13"/>
  <c r="AE215" i="13"/>
  <c r="AO280" i="13"/>
  <c r="AP280" i="13"/>
  <c r="AG122" i="13"/>
  <c r="AI122" i="13" s="1"/>
  <c r="AN122" i="13" s="1"/>
  <c r="AH122" i="13"/>
  <c r="X137" i="13"/>
  <c r="Y120" i="13"/>
  <c r="N84" i="19"/>
  <c r="E98" i="18"/>
  <c r="E55" i="18"/>
  <c r="AG88" i="13"/>
  <c r="AH88" i="13"/>
  <c r="AI64" i="13"/>
  <c r="AN64" i="13" s="1"/>
  <c r="AO290" i="7"/>
  <c r="AQ273" i="7"/>
  <c r="AQ161" i="13"/>
  <c r="AV161" i="13" s="1"/>
  <c r="AX26" i="13"/>
  <c r="AI31" i="13"/>
  <c r="AN31" i="13" s="1"/>
  <c r="AI179" i="13"/>
  <c r="AN179" i="13" s="1"/>
  <c r="AX172" i="13"/>
  <c r="AY172" i="13" s="1"/>
  <c r="AG246" i="13"/>
  <c r="AI246" i="13" s="1"/>
  <c r="AN246" i="13" s="1"/>
  <c r="AH246" i="13"/>
  <c r="AG9" i="13"/>
  <c r="AH9" i="13"/>
  <c r="AW146" i="13"/>
  <c r="AX146" i="13"/>
  <c r="AO40" i="13"/>
  <c r="AQ40" i="13" s="1"/>
  <c r="AV40" i="13" s="1"/>
  <c r="AP40" i="13"/>
  <c r="AO167" i="13"/>
  <c r="AP167" i="13"/>
  <c r="I62" i="18"/>
  <c r="K62" i="18" s="1"/>
  <c r="K8" i="18" s="1"/>
  <c r="Q46" i="19" s="1"/>
  <c r="AQ221" i="13"/>
  <c r="AV221" i="13" s="1"/>
  <c r="F40" i="8"/>
  <c r="AO259" i="13"/>
  <c r="AQ259" i="13" s="1"/>
  <c r="AV259" i="13" s="1"/>
  <c r="AP259" i="13"/>
  <c r="X99" i="13"/>
  <c r="AF82" i="13"/>
  <c r="Y82" i="13"/>
  <c r="AA82" i="13" s="1"/>
  <c r="AA99" i="13" s="1"/>
  <c r="R29" i="12" s="1"/>
  <c r="T29" i="12" s="1"/>
  <c r="K9" i="12" s="1"/>
  <c r="K47" i="19" s="1"/>
  <c r="AI170" i="13"/>
  <c r="AN170" i="13" s="1"/>
  <c r="AG309" i="7"/>
  <c r="AI292" i="7"/>
  <c r="AG279" i="13"/>
  <c r="AH279" i="13"/>
  <c r="AC234" i="13"/>
  <c r="AB252" i="7"/>
  <c r="A88" i="18" s="1"/>
  <c r="F88" i="18" s="1"/>
  <c r="AH235" i="7"/>
  <c r="I10" i="8"/>
  <c r="K10" i="8" s="1"/>
  <c r="H10" i="19" s="1"/>
  <c r="W10" i="19" s="1"/>
  <c r="K28" i="8"/>
  <c r="AJ197" i="7"/>
  <c r="AH214" i="7"/>
  <c r="AG87" i="13"/>
  <c r="AH87" i="13"/>
  <c r="AO283" i="13"/>
  <c r="AP283" i="13"/>
  <c r="AI16" i="13"/>
  <c r="AN16" i="13" s="1"/>
  <c r="AQ260" i="13"/>
  <c r="AV260" i="13" s="1"/>
  <c r="AY178" i="13"/>
  <c r="BU5" i="8"/>
  <c r="AQ155" i="13"/>
  <c r="AV155" i="13" s="1"/>
  <c r="AQ51" i="13"/>
  <c r="AV51" i="13" s="1"/>
  <c r="AI131" i="13"/>
  <c r="AN131" i="13" s="1"/>
  <c r="AI136" i="13"/>
  <c r="AN136" i="13" s="1"/>
  <c r="AQ141" i="13"/>
  <c r="AV141" i="13" s="1"/>
  <c r="AY284" i="13"/>
  <c r="AI238" i="13"/>
  <c r="AN238" i="13" s="1"/>
  <c r="AI121" i="13"/>
  <c r="AN121" i="13" s="1"/>
  <c r="AQ254" i="13"/>
  <c r="AV254" i="13" s="1"/>
  <c r="AQ92" i="13"/>
  <c r="AV92" i="13" s="1"/>
  <c r="I15" i="8"/>
  <c r="K15" i="8" s="1"/>
  <c r="H15" i="19" s="1"/>
  <c r="W15" i="19" s="1"/>
  <c r="K33" i="8"/>
  <c r="AO34" i="13"/>
  <c r="AQ34" i="13" s="1"/>
  <c r="AV34" i="13" s="1"/>
  <c r="AP34" i="13"/>
  <c r="AO244" i="13"/>
  <c r="AQ244" i="13" s="1"/>
  <c r="AV244" i="13"/>
  <c r="AW244" i="13" s="1"/>
  <c r="AO21" i="13"/>
  <c r="AI181" i="13"/>
  <c r="AN181" i="13" s="1"/>
  <c r="AI100" i="7"/>
  <c r="AO83" i="7"/>
  <c r="AI235" i="13"/>
  <c r="AN235" i="13" s="1"/>
  <c r="AO148" i="13"/>
  <c r="AQ148" i="13" s="1"/>
  <c r="AV148" i="13"/>
  <c r="AP148" i="13"/>
  <c r="AO39" i="13"/>
  <c r="AQ39" i="13" s="1"/>
  <c r="AV39" i="13" s="1"/>
  <c r="AP39" i="13"/>
  <c r="AO128" i="13"/>
  <c r="U24" i="9"/>
  <c r="AH271" i="7"/>
  <c r="AJ254" i="7"/>
  <c r="N48" i="19"/>
  <c r="E64" i="18"/>
  <c r="I64" i="18" s="1"/>
  <c r="K64" i="18" s="1"/>
  <c r="K10" i="18" s="1"/>
  <c r="Q48" i="19" s="1"/>
  <c r="AI151" i="13"/>
  <c r="AN151" i="13" s="1"/>
  <c r="Z6" i="13"/>
  <c r="Z23" i="13" s="1"/>
  <c r="X23" i="13"/>
  <c r="Y6" i="13"/>
  <c r="AG223" i="13"/>
  <c r="AH223" i="13"/>
  <c r="AI130" i="13"/>
  <c r="AN130" i="13" s="1"/>
  <c r="AO168" i="13"/>
  <c r="AQ168" i="13" s="1"/>
  <c r="AV168" i="13" s="1"/>
  <c r="AP168" i="13"/>
  <c r="AO257" i="13"/>
  <c r="AQ257" i="13" s="1"/>
  <c r="AV257" i="13" s="1"/>
  <c r="AP257" i="13"/>
  <c r="AG20" i="13"/>
  <c r="AI20" i="13" s="1"/>
  <c r="AN20" i="13"/>
  <c r="AH20" i="13"/>
  <c r="AO85" i="13"/>
  <c r="AQ85" i="13" s="1"/>
  <c r="AV85" i="13" s="1"/>
  <c r="AP85" i="13"/>
  <c r="AI134" i="13"/>
  <c r="AN134" i="13" s="1"/>
  <c r="T24" i="8"/>
  <c r="AC24" i="8" s="1"/>
  <c r="S24" i="8"/>
  <c r="AW210" i="13"/>
  <c r="AX210" i="13"/>
  <c r="AY169" i="13"/>
  <c r="AO124" i="13"/>
  <c r="AQ124" i="13" s="1"/>
  <c r="AV124" i="13" s="1"/>
  <c r="AW282" i="13"/>
  <c r="AX282" i="13"/>
  <c r="AO159" i="7"/>
  <c r="AI176" i="7"/>
  <c r="AY35" i="13"/>
  <c r="AP21" i="13"/>
  <c r="AO206" i="13"/>
  <c r="AQ206" i="13" s="1"/>
  <c r="AV206" i="13" s="1"/>
  <c r="AP206" i="13"/>
  <c r="X32" i="8"/>
  <c r="V14" i="8"/>
  <c r="X14" i="8" s="1"/>
  <c r="H33" i="19" s="1"/>
  <c r="V57" i="19"/>
  <c r="AE43" i="19"/>
  <c r="AE57" i="19" s="1"/>
  <c r="AH43" i="7"/>
  <c r="AJ26" i="7"/>
  <c r="AG208" i="13"/>
  <c r="AH208" i="13"/>
  <c r="AI43" i="7"/>
  <c r="AO26" i="7"/>
  <c r="AG240" i="13"/>
  <c r="AH240" i="13"/>
  <c r="AO265" i="13"/>
  <c r="AQ265" i="13" s="1"/>
  <c r="AV265" i="13"/>
  <c r="AP265" i="13"/>
  <c r="AG76" i="13"/>
  <c r="AI76" i="13" s="1"/>
  <c r="AN76" i="13" s="1"/>
  <c r="AH76" i="13"/>
  <c r="AW154" i="13"/>
  <c r="AX154" i="13"/>
  <c r="AO199" i="13"/>
  <c r="AQ199" i="13" s="1"/>
  <c r="AV199" i="13"/>
  <c r="AP199" i="13"/>
  <c r="AW57" i="8"/>
  <c r="AW61" i="8" s="1"/>
  <c r="AS18" i="8"/>
  <c r="AU61" i="8"/>
  <c r="X289" i="13"/>
  <c r="Y272" i="13"/>
  <c r="AA272" i="13" s="1"/>
  <c r="AA289" i="13" s="1"/>
  <c r="R38" i="12" s="1"/>
  <c r="AY98" i="13"/>
  <c r="AO36" i="13"/>
  <c r="AQ36" i="13" s="1"/>
  <c r="AV36" i="13" s="1"/>
  <c r="AP36" i="13"/>
  <c r="AA123" i="13"/>
  <c r="AF123" i="13" s="1"/>
  <c r="AG152" i="13"/>
  <c r="AH152" i="13"/>
  <c r="AI278" i="13"/>
  <c r="AN278" i="13" s="1"/>
  <c r="AG174" i="13"/>
  <c r="AI174" i="13" s="1"/>
  <c r="AN174" i="13" s="1"/>
  <c r="AH174" i="13"/>
  <c r="W137" i="13"/>
  <c r="Z120" i="13"/>
  <c r="Z137" i="13" s="1"/>
  <c r="AC213" i="13"/>
  <c r="AE196" i="13"/>
  <c r="AV11" i="13"/>
  <c r="AW11" i="13" s="1"/>
  <c r="AO11" i="13"/>
  <c r="AQ11" i="13" s="1"/>
  <c r="AY94" i="13"/>
  <c r="AQ79" i="13"/>
  <c r="AV79" i="13" s="1"/>
  <c r="AW79" i="13" s="1"/>
  <c r="AW258" i="13"/>
  <c r="AX258" i="13"/>
  <c r="AY203" i="13"/>
  <c r="AO140" i="13"/>
  <c r="AP140" i="13"/>
  <c r="AI54" i="13"/>
  <c r="AN54" i="13" s="1"/>
  <c r="AI68" i="13"/>
  <c r="AN68" i="13" s="1"/>
  <c r="S33" i="8"/>
  <c r="T33" i="8" s="1"/>
  <c r="AJ273" i="7"/>
  <c r="AH290" i="7"/>
  <c r="I26" i="8"/>
  <c r="P26" i="8"/>
  <c r="AA63" i="9"/>
  <c r="AD46" i="9"/>
  <c r="AF46" i="9" s="1"/>
  <c r="Y25" i="13"/>
  <c r="AA25" i="13" s="1"/>
  <c r="AA42" i="13" s="1"/>
  <c r="R26" i="12" s="1"/>
  <c r="T26" i="12" s="1"/>
  <c r="K6" i="12" s="1"/>
  <c r="K44" i="19" s="1"/>
  <c r="X42" i="13"/>
  <c r="AF25" i="13"/>
  <c r="AJ159" i="7"/>
  <c r="AH176" i="7"/>
  <c r="AO144" i="13"/>
  <c r="AP144" i="13"/>
  <c r="AG22" i="13"/>
  <c r="AI22" i="13" s="1"/>
  <c r="AN22" i="13" s="1"/>
  <c r="AH22" i="13"/>
  <c r="AI90" i="13"/>
  <c r="AN90" i="13" s="1"/>
  <c r="AO13" i="13"/>
  <c r="AQ13" i="13" s="1"/>
  <c r="AV13" i="13"/>
  <c r="AW13" i="13" s="1"/>
  <c r="AG7" i="13"/>
  <c r="AH7" i="13"/>
  <c r="AO53" i="13"/>
  <c r="AQ53" i="13" s="1"/>
  <c r="AV53" i="13" s="1"/>
  <c r="AP53" i="13"/>
  <c r="AI56" i="13"/>
  <c r="AN56" i="13" s="1"/>
  <c r="I33" i="9"/>
  <c r="F41" i="9"/>
  <c r="AO217" i="13"/>
  <c r="AQ217" i="13" s="1"/>
  <c r="AV217" i="13" s="1"/>
  <c r="AP217" i="13"/>
  <c r="AI220" i="13"/>
  <c r="AN220" i="13" s="1"/>
  <c r="AC156" i="13"/>
  <c r="AE139" i="13"/>
  <c r="AI192" i="13"/>
  <c r="AN192" i="13" s="1"/>
  <c r="AC99" i="13"/>
  <c r="AE82" i="13"/>
  <c r="AI149" i="13"/>
  <c r="AN149" i="13" s="1"/>
  <c r="AP128" i="13"/>
  <c r="AO180" i="13"/>
  <c r="AP180" i="13"/>
  <c r="AO84" i="13"/>
  <c r="AQ84" i="13" s="1"/>
  <c r="AV84" i="13" s="1"/>
  <c r="AP84" i="13"/>
  <c r="AI81" i="7"/>
  <c r="AO64" i="7"/>
  <c r="AG126" i="13"/>
  <c r="AH126" i="13"/>
  <c r="AA77" i="13"/>
  <c r="AF77" i="13" s="1"/>
  <c r="X234" i="13"/>
  <c r="AH62" i="7"/>
  <c r="AJ45" i="7"/>
  <c r="Q30" i="15"/>
  <c r="M67" i="14"/>
  <c r="E19" i="12"/>
  <c r="AI277" i="13"/>
  <c r="AN277" i="13" s="1"/>
  <c r="N25" i="12"/>
  <c r="H5" i="12" s="1"/>
  <c r="AG129" i="13"/>
  <c r="AH129" i="13"/>
  <c r="N9" i="23"/>
  <c r="O9" i="23" s="1"/>
  <c r="P9" i="23" s="1"/>
  <c r="Y177" i="13"/>
  <c r="X194" i="13"/>
  <c r="AI264" i="13"/>
  <c r="AN264" i="13" s="1"/>
  <c r="Z234" i="13"/>
  <c r="Z251" i="13" s="1"/>
  <c r="W251" i="13"/>
  <c r="AA241" i="13"/>
  <c r="AF241" i="13" s="1"/>
  <c r="I17" i="21"/>
  <c r="J17" i="21" s="1"/>
  <c r="AC6" i="13"/>
  <c r="AC23" i="13" s="1"/>
  <c r="AB24" i="7"/>
  <c r="A77" i="18" s="1"/>
  <c r="F77" i="18" s="1"/>
  <c r="AH7" i="7"/>
  <c r="AI255" i="13"/>
  <c r="AN255" i="13" s="1"/>
  <c r="I6" i="8"/>
  <c r="K6" i="8" s="1"/>
  <c r="H6" i="19" s="1"/>
  <c r="W6" i="19" s="1"/>
  <c r="K24" i="8"/>
  <c r="AY48" i="13"/>
  <c r="K29" i="8"/>
  <c r="I11" i="8"/>
  <c r="K11" i="8" s="1"/>
  <c r="H11" i="19" s="1"/>
  <c r="W11" i="19" s="1"/>
  <c r="AX47" i="13"/>
  <c r="S36" i="8"/>
  <c r="T36" i="8" s="1"/>
  <c r="AA69" i="13"/>
  <c r="AF69" i="13" s="1"/>
  <c r="AA243" i="13"/>
  <c r="AF243" i="13" s="1"/>
  <c r="AO7" i="7"/>
  <c r="AI24" i="7"/>
  <c r="T39" i="8"/>
  <c r="AC39" i="8" s="1"/>
  <c r="V39" i="8"/>
  <c r="X39" i="8" s="1"/>
  <c r="AJ178" i="7"/>
  <c r="AH195" i="7"/>
  <c r="AC63" i="13"/>
  <c r="AH64" i="7"/>
  <c r="AB81" i="7"/>
  <c r="A80" i="18" s="1"/>
  <c r="F80" i="18" s="1"/>
  <c r="N66" i="19"/>
  <c r="E81" i="18"/>
  <c r="AQ268" i="13"/>
  <c r="AV268" i="13" s="1"/>
  <c r="AI237" i="13"/>
  <c r="AN237" i="13" s="1"/>
  <c r="AG66" i="13"/>
  <c r="AH66" i="13"/>
  <c r="AO222" i="13"/>
  <c r="AQ222" i="13" s="1"/>
  <c r="AV222" i="13" s="1"/>
  <c r="AP222" i="13"/>
  <c r="AG133" i="13"/>
  <c r="AI133" i="13" s="1"/>
  <c r="AN133" i="13" s="1"/>
  <c r="AH133" i="13"/>
  <c r="AO248" i="13"/>
  <c r="AQ248" i="13" s="1"/>
  <c r="AV248" i="13"/>
  <c r="AW248" i="13" s="1"/>
  <c r="AX132" i="13"/>
  <c r="AY132" i="13" s="1"/>
  <c r="AX18" i="13"/>
  <c r="K31" i="8"/>
  <c r="I13" i="8"/>
  <c r="K13" i="8" s="1"/>
  <c r="H13" i="19" s="1"/>
  <c r="W13" i="19" s="1"/>
  <c r="AO198" i="13"/>
  <c r="AP198" i="13"/>
  <c r="K59" i="18"/>
  <c r="I36" i="18"/>
  <c r="E37" i="18"/>
  <c r="E5" i="18"/>
  <c r="AI226" i="13"/>
  <c r="AN226" i="13" s="1"/>
  <c r="AX185" i="13"/>
  <c r="AI60" i="13"/>
  <c r="AN60" i="13" s="1"/>
  <c r="AI189" i="13"/>
  <c r="AN189" i="13" s="1"/>
  <c r="AQ191" i="13"/>
  <c r="AV191" i="13" s="1"/>
  <c r="AO50" i="13"/>
  <c r="AP50" i="13"/>
  <c r="AQ97" i="13"/>
  <c r="AV97" i="13" s="1"/>
  <c r="AI15" i="13"/>
  <c r="AN15" i="13" s="1"/>
  <c r="AQ209" i="13"/>
  <c r="AV209" i="13" s="1"/>
  <c r="AQ273" i="13"/>
  <c r="AV273" i="13" s="1"/>
  <c r="AQ83" i="13"/>
  <c r="AV83" i="13" s="1"/>
  <c r="AI135" i="13"/>
  <c r="AN135" i="13" s="1"/>
  <c r="AI166" i="13"/>
  <c r="AN166" i="13" s="1"/>
  <c r="AI65" i="13"/>
  <c r="AN65" i="13" s="1"/>
  <c r="AE272" i="13"/>
  <c r="AC289" i="13"/>
  <c r="E14" i="9"/>
  <c r="H41" i="9"/>
  <c r="AO214" i="7"/>
  <c r="AQ197" i="7"/>
  <c r="AY207" i="13"/>
  <c r="S30" i="8"/>
  <c r="T30" i="8" s="1"/>
  <c r="AV242" i="13"/>
  <c r="AW242" i="13" s="1"/>
  <c r="AO242" i="13"/>
  <c r="AQ242" i="13" s="1"/>
  <c r="AC120" i="13"/>
  <c r="AH121" i="7"/>
  <c r="AB138" i="7"/>
  <c r="A82" i="18" s="1"/>
  <c r="F82" i="18" s="1"/>
  <c r="E35" i="21"/>
  <c r="G35" i="21" s="1"/>
  <c r="AF36" i="19"/>
  <c r="AO193" i="13"/>
  <c r="AQ193" i="13" s="1"/>
  <c r="AV193" i="13" s="1"/>
  <c r="AP193" i="13"/>
  <c r="AO229" i="13"/>
  <c r="AP229" i="13"/>
  <c r="AO184" i="13"/>
  <c r="AQ184" i="13" s="1"/>
  <c r="AV184" i="13" s="1"/>
  <c r="AP184" i="13"/>
  <c r="AX79" i="13"/>
  <c r="AO276" i="13"/>
  <c r="AQ276" i="13" s="1"/>
  <c r="AV276" i="13" s="1"/>
  <c r="AP276" i="13"/>
  <c r="AX13" i="13"/>
  <c r="S61" i="13"/>
  <c r="L27" i="12" s="1"/>
  <c r="N27" i="12" s="1"/>
  <c r="H7" i="12" s="1"/>
  <c r="K26" i="19" s="1"/>
  <c r="X44" i="13"/>
  <c r="Y63" i="13"/>
  <c r="X80" i="13"/>
  <c r="AC270" i="13"/>
  <c r="AE253" i="13"/>
  <c r="K19" i="19"/>
  <c r="D8" i="23" s="1"/>
  <c r="H8" i="23" s="1"/>
  <c r="AA270" i="13"/>
  <c r="R37" i="12" s="1"/>
  <c r="AF253" i="13"/>
  <c r="Y158" i="13"/>
  <c r="AA158" i="13" s="1"/>
  <c r="AA175" i="13" s="1"/>
  <c r="R32" i="12" s="1"/>
  <c r="T32" i="12" s="1"/>
  <c r="K12" i="12" s="1"/>
  <c r="K50" i="19" s="1"/>
  <c r="X175" i="13"/>
  <c r="AW201" i="13"/>
  <c r="AX201" i="13"/>
  <c r="Z63" i="13"/>
  <c r="Z80" i="13" s="1"/>
  <c r="W80" i="13"/>
  <c r="AG228" i="13"/>
  <c r="AH228" i="13"/>
  <c r="AI164" i="13"/>
  <c r="AN164" i="13" s="1"/>
  <c r="N56" i="19"/>
  <c r="N57" i="19" s="1"/>
  <c r="T9" i="23" s="1"/>
  <c r="E72" i="18"/>
  <c r="I72" i="18" s="1"/>
  <c r="K72" i="18" s="1"/>
  <c r="K18" i="18" s="1"/>
  <c r="Q56" i="19" s="1"/>
  <c r="AY231" i="13"/>
  <c r="AY185" i="13"/>
  <c r="AJ216" i="7"/>
  <c r="AH233" i="7"/>
  <c r="AY26" i="13"/>
  <c r="AO29" i="13"/>
  <c r="AQ29" i="13" s="1"/>
  <c r="AV29" i="13" s="1"/>
  <c r="AP29" i="13"/>
  <c r="AO143" i="13"/>
  <c r="AP143" i="13"/>
  <c r="AO227" i="13"/>
  <c r="AQ227" i="13" s="1"/>
  <c r="AV227" i="13"/>
  <c r="AP227" i="13"/>
  <c r="AO86" i="13"/>
  <c r="AQ86" i="13" s="1"/>
  <c r="AV86" i="13" s="1"/>
  <c r="AP86" i="13"/>
  <c r="S29" i="8"/>
  <c r="T29" i="8" s="1"/>
  <c r="AU23" i="13"/>
  <c r="Q24" i="19"/>
  <c r="S37" i="8"/>
  <c r="T37" i="8" s="1"/>
  <c r="AY47" i="13"/>
  <c r="N103" i="19"/>
  <c r="E116" i="18"/>
  <c r="AO195" i="7"/>
  <c r="AQ178" i="7"/>
  <c r="K44" i="18"/>
  <c r="I55" i="18"/>
  <c r="X232" i="13"/>
  <c r="AF215" i="13"/>
  <c r="Y215" i="13"/>
  <c r="AA215" i="13" s="1"/>
  <c r="AA232" i="13" s="1"/>
  <c r="R35" i="12" s="1"/>
  <c r="T35" i="12" s="1"/>
  <c r="K15" i="12" s="1"/>
  <c r="K53" i="19" s="1"/>
  <c r="AC194" i="13"/>
  <c r="AE177" i="13"/>
  <c r="M85" i="14"/>
  <c r="R29" i="15"/>
  <c r="M104" i="14" s="1"/>
  <c r="AW287" i="13"/>
  <c r="AY287" i="13" s="1"/>
  <c r="AX287" i="13"/>
  <c r="AI12" i="13"/>
  <c r="AN12" i="13" s="1"/>
  <c r="AF32" i="8"/>
  <c r="AG32" i="8" s="1"/>
  <c r="AG239" i="13"/>
  <c r="AI239" i="13" s="1"/>
  <c r="AN239" i="13" s="1"/>
  <c r="AH239" i="13"/>
  <c r="AC42" i="13"/>
  <c r="AE25" i="13"/>
  <c r="AO37" i="13"/>
  <c r="AP37" i="13"/>
  <c r="AO173" i="13"/>
  <c r="AQ173" i="13" s="1"/>
  <c r="AV173" i="13"/>
  <c r="AP173" i="13"/>
  <c r="AO49" i="13"/>
  <c r="AP49" i="13"/>
  <c r="AO256" i="13"/>
  <c r="AQ256" i="13" s="1"/>
  <c r="AV256" i="13" s="1"/>
  <c r="AP256" i="13"/>
  <c r="Y139" i="13"/>
  <c r="AA139" i="13" s="1"/>
  <c r="AA156" i="13" s="1"/>
  <c r="R31" i="12" s="1"/>
  <c r="T31" i="12" s="1"/>
  <c r="K11" i="12" s="1"/>
  <c r="K49" i="19" s="1"/>
  <c r="X156" i="13"/>
  <c r="AF139" i="13"/>
  <c r="AB292" i="7"/>
  <c r="Z309" i="7"/>
  <c r="BF57" i="8"/>
  <c r="BH57" i="8"/>
  <c r="BC61" i="8"/>
  <c r="S31" i="8"/>
  <c r="T31" i="8" s="1"/>
  <c r="P23" i="8"/>
  <c r="G40" i="8"/>
  <c r="I23" i="8"/>
  <c r="K25" i="8"/>
  <c r="I7" i="8"/>
  <c r="K7" i="8" s="1"/>
  <c r="H7" i="19" s="1"/>
  <c r="W7" i="19" s="1"/>
  <c r="AO252" i="7"/>
  <c r="AQ235" i="7"/>
  <c r="T38" i="8"/>
  <c r="AC38" i="8" s="1"/>
  <c r="F9" i="23"/>
  <c r="G9" i="23" s="1"/>
  <c r="H9" i="23" s="1"/>
  <c r="AX96" i="13"/>
  <c r="AY96" i="13" s="1"/>
  <c r="Z177" i="13"/>
  <c r="Z194" i="13" s="1"/>
  <c r="S28" i="8"/>
  <c r="T28" i="8" s="1"/>
  <c r="AO46" i="13"/>
  <c r="AQ46" i="13" s="1"/>
  <c r="AV46" i="13" s="1"/>
  <c r="AP46" i="13"/>
  <c r="AQ55" i="13"/>
  <c r="AV55" i="13" s="1"/>
  <c r="AQ266" i="13"/>
  <c r="AV266" i="13" s="1"/>
  <c r="AQ95" i="13"/>
  <c r="AV95" i="13" s="1"/>
  <c r="AQ262" i="13"/>
  <c r="AV262" i="13" s="1"/>
  <c r="D62" i="19"/>
  <c r="M19" i="9"/>
  <c r="AY187" i="13" l="1"/>
  <c r="AY201" i="13"/>
  <c r="H17" i="21"/>
  <c r="AC28" i="8"/>
  <c r="V28" i="8"/>
  <c r="AC31" i="8"/>
  <c r="V31" i="8"/>
  <c r="AC37" i="8"/>
  <c r="V37" i="8"/>
  <c r="X37" i="8" s="1"/>
  <c r="AW29" i="13"/>
  <c r="AY29" i="13" s="1"/>
  <c r="AX29" i="13"/>
  <c r="AW276" i="13"/>
  <c r="AY276" i="13" s="1"/>
  <c r="AX276" i="13"/>
  <c r="AW53" i="13"/>
  <c r="AY53" i="13" s="1"/>
  <c r="AX53" i="13"/>
  <c r="AW36" i="13"/>
  <c r="AY36" i="13" s="1"/>
  <c r="AX36" i="13"/>
  <c r="AW39" i="13"/>
  <c r="AY39" i="13" s="1"/>
  <c r="AX39" i="13"/>
  <c r="AO239" i="13"/>
  <c r="AP239" i="13"/>
  <c r="AW86" i="13"/>
  <c r="AY86" i="13" s="1"/>
  <c r="AX86" i="13"/>
  <c r="AW222" i="13"/>
  <c r="AY222" i="13" s="1"/>
  <c r="AX222" i="13"/>
  <c r="AC33" i="8"/>
  <c r="V33" i="8"/>
  <c r="AO76" i="13"/>
  <c r="AP76" i="13"/>
  <c r="AW168" i="13"/>
  <c r="AX168" i="13"/>
  <c r="AW259" i="13"/>
  <c r="AX259" i="13"/>
  <c r="AO245" i="13"/>
  <c r="AQ245" i="13" s="1"/>
  <c r="AV245" i="13"/>
  <c r="AP245" i="13"/>
  <c r="AW19" i="13"/>
  <c r="AY19" i="13" s="1"/>
  <c r="AX19" i="13"/>
  <c r="AW71" i="13"/>
  <c r="AY71" i="13" s="1"/>
  <c r="AX71" i="13"/>
  <c r="AO174" i="13"/>
  <c r="AQ174" i="13" s="1"/>
  <c r="AV174" i="13"/>
  <c r="AP174" i="13"/>
  <c r="AW124" i="13"/>
  <c r="AY124" i="13" s="1"/>
  <c r="AX124" i="13"/>
  <c r="AW85" i="13"/>
  <c r="AY85" i="13" s="1"/>
  <c r="AX85" i="13"/>
  <c r="AO246" i="13"/>
  <c r="AP246" i="13"/>
  <c r="AW171" i="13"/>
  <c r="AX171" i="13"/>
  <c r="AW256" i="13"/>
  <c r="AX256" i="13"/>
  <c r="AP32" i="8"/>
  <c r="AI32" i="8"/>
  <c r="AW46" i="13"/>
  <c r="AX46" i="13"/>
  <c r="AC29" i="8"/>
  <c r="V29" i="8"/>
  <c r="V9" i="23"/>
  <c r="W9" i="23" s="1"/>
  <c r="X9" i="23" s="1"/>
  <c r="AW184" i="13"/>
  <c r="AX184" i="13"/>
  <c r="AW193" i="13"/>
  <c r="AX193" i="13"/>
  <c r="AC30" i="8"/>
  <c r="V30" i="8"/>
  <c r="AO133" i="13"/>
  <c r="AQ133" i="13" s="1"/>
  <c r="AV133" i="13"/>
  <c r="AP133" i="13"/>
  <c r="AC36" i="8"/>
  <c r="V36" i="8"/>
  <c r="AW84" i="13"/>
  <c r="AX84" i="13"/>
  <c r="AW217" i="13"/>
  <c r="AX217" i="13"/>
  <c r="AO22" i="13"/>
  <c r="AP22" i="13"/>
  <c r="AF63" i="9"/>
  <c r="P5" i="9"/>
  <c r="AW257" i="13"/>
  <c r="AY257" i="13" s="1"/>
  <c r="AX257" i="13"/>
  <c r="AO122" i="13"/>
  <c r="AP122" i="13"/>
  <c r="AW162" i="13"/>
  <c r="AX162" i="13"/>
  <c r="AW224" i="13"/>
  <c r="AY224" i="13" s="1"/>
  <c r="AX224" i="13"/>
  <c r="AW142" i="13"/>
  <c r="AY142" i="13" s="1"/>
  <c r="AX142" i="13"/>
  <c r="AW33" i="13"/>
  <c r="AY33" i="13" s="1"/>
  <c r="AX33" i="13"/>
  <c r="AW190" i="13"/>
  <c r="AY190" i="13" s="1"/>
  <c r="AX190" i="13"/>
  <c r="AW72" i="13"/>
  <c r="AY72" i="13" s="1"/>
  <c r="AX72" i="13"/>
  <c r="AW34" i="13"/>
  <c r="AY34" i="13" s="1"/>
  <c r="AX34" i="13"/>
  <c r="AW40" i="13"/>
  <c r="AY40" i="13" s="1"/>
  <c r="AX40" i="13"/>
  <c r="AW8" i="13"/>
  <c r="AY8" i="13" s="1"/>
  <c r="AX8" i="13"/>
  <c r="AW45" i="13"/>
  <c r="AY45" i="13" s="1"/>
  <c r="AX45" i="13"/>
  <c r="I40" i="8"/>
  <c r="K23" i="8"/>
  <c r="I5" i="8"/>
  <c r="AO12" i="13"/>
  <c r="AQ12" i="13" s="1"/>
  <c r="AV12" i="13" s="1"/>
  <c r="AP12" i="13"/>
  <c r="AG215" i="13"/>
  <c r="AF232" i="13"/>
  <c r="E14" i="19"/>
  <c r="E19" i="9"/>
  <c r="V62" i="19"/>
  <c r="D76" i="19"/>
  <c r="AW266" i="13"/>
  <c r="AY266" i="13" s="1"/>
  <c r="AX266" i="13"/>
  <c r="V38" i="8"/>
  <c r="X38" i="8" s="1"/>
  <c r="E7" i="21"/>
  <c r="G7" i="21" s="1"/>
  <c r="AF7" i="19"/>
  <c r="BP57" i="8"/>
  <c r="BF61" i="8"/>
  <c r="AQ37" i="13"/>
  <c r="AV37" i="13" s="1"/>
  <c r="AE194" i="13"/>
  <c r="AQ143" i="13"/>
  <c r="AV143" i="13" s="1"/>
  <c r="AK215" i="13"/>
  <c r="AP216" i="7"/>
  <c r="AJ233" i="7"/>
  <c r="A105" i="18" s="1"/>
  <c r="F105" i="18" s="1"/>
  <c r="AI228" i="13"/>
  <c r="AN228" i="13" s="1"/>
  <c r="AF158" i="13"/>
  <c r="AE270" i="13"/>
  <c r="AH253" i="13"/>
  <c r="AH270" i="13" s="1"/>
  <c r="Q35" i="21"/>
  <c r="U35" i="21" s="1"/>
  <c r="Y35" i="21" s="1"/>
  <c r="AG35" i="21" s="1"/>
  <c r="P35" i="21"/>
  <c r="S35" i="21"/>
  <c r="W35" i="21" s="1"/>
  <c r="AA35" i="21" s="1"/>
  <c r="AI35" i="21" s="1"/>
  <c r="R35" i="21"/>
  <c r="AH138" i="7"/>
  <c r="AJ121" i="7"/>
  <c r="AW197" i="7"/>
  <c r="AW214" i="7" s="1"/>
  <c r="AQ214" i="7"/>
  <c r="AO135" i="13"/>
  <c r="AQ135" i="13" s="1"/>
  <c r="AV135" i="13" s="1"/>
  <c r="AP135" i="13"/>
  <c r="AO15" i="13"/>
  <c r="AP15" i="13"/>
  <c r="AQ50" i="13"/>
  <c r="AV50" i="13" s="1"/>
  <c r="AO189" i="13"/>
  <c r="AP189" i="13"/>
  <c r="AX248" i="13"/>
  <c r="AI66" i="13"/>
  <c r="AN66" i="13" s="1"/>
  <c r="AX242" i="13"/>
  <c r="AY242" i="13" s="1"/>
  <c r="AE63" i="13"/>
  <c r="AC80" i="13"/>
  <c r="AG69" i="13"/>
  <c r="AI69" i="13" s="1"/>
  <c r="AN69" i="13" s="1"/>
  <c r="AH69" i="13"/>
  <c r="F91" i="18"/>
  <c r="AA177" i="13"/>
  <c r="AO277" i="13"/>
  <c r="AP277" i="13"/>
  <c r="AK44" i="13"/>
  <c r="AJ62" i="7"/>
  <c r="A97" i="18" s="1"/>
  <c r="F97" i="18" s="1"/>
  <c r="AP45" i="7"/>
  <c r="AG77" i="13"/>
  <c r="AH77" i="13"/>
  <c r="AQ64" i="7"/>
  <c r="AO81" i="7"/>
  <c r="AG25" i="13"/>
  <c r="AF42" i="13"/>
  <c r="AY258" i="13"/>
  <c r="AI152" i="13"/>
  <c r="AN152" i="13" s="1"/>
  <c r="AX244" i="13"/>
  <c r="AY154" i="13"/>
  <c r="AK25" i="13"/>
  <c r="AJ43" i="7"/>
  <c r="A96" i="18" s="1"/>
  <c r="F96" i="18" s="1"/>
  <c r="AP26" i="7"/>
  <c r="AO176" i="7"/>
  <c r="AQ159" i="7"/>
  <c r="AY210" i="13"/>
  <c r="AO134" i="13"/>
  <c r="AQ134" i="13" s="1"/>
  <c r="AV134" i="13" s="1"/>
  <c r="AP134" i="13"/>
  <c r="AI223" i="13"/>
  <c r="AN223" i="13" s="1"/>
  <c r="AO235" i="13"/>
  <c r="AP235" i="13"/>
  <c r="AO181" i="13"/>
  <c r="AP181" i="13"/>
  <c r="AO121" i="13"/>
  <c r="AP121" i="13"/>
  <c r="AO136" i="13"/>
  <c r="AQ136" i="13" s="1"/>
  <c r="AV136" i="13" s="1"/>
  <c r="AP136" i="13"/>
  <c r="AQ283" i="13"/>
  <c r="AV283" i="13" s="1"/>
  <c r="AI279" i="13"/>
  <c r="AN279" i="13" s="1"/>
  <c r="S25" i="8"/>
  <c r="T25" i="8" s="1"/>
  <c r="AQ167" i="13"/>
  <c r="AV167" i="13" s="1"/>
  <c r="AO64" i="13"/>
  <c r="AQ64" i="13" s="1"/>
  <c r="AV64" i="13" s="1"/>
  <c r="AP64" i="13"/>
  <c r="M94" i="14"/>
  <c r="Q94" i="14" s="1"/>
  <c r="R31" i="15"/>
  <c r="M113" i="14" s="1"/>
  <c r="Q113" i="14" s="1"/>
  <c r="AQ202" i="13"/>
  <c r="AV202" i="13" s="1"/>
  <c r="AQ121" i="7"/>
  <c r="AO138" i="7"/>
  <c r="AG127" i="13"/>
  <c r="AI127" i="13" s="1"/>
  <c r="AN127" i="13" s="1"/>
  <c r="AH127" i="13"/>
  <c r="AF213" i="13"/>
  <c r="AG196" i="13"/>
  <c r="AQ211" i="13"/>
  <c r="AV211" i="13" s="1"/>
  <c r="AK82" i="13"/>
  <c r="AJ100" i="7"/>
  <c r="A99" i="18" s="1"/>
  <c r="F99" i="18" s="1"/>
  <c r="AP83" i="7"/>
  <c r="AQ140" i="7"/>
  <c r="AO157" i="7"/>
  <c r="AQ165" i="13"/>
  <c r="AV165" i="13" s="1"/>
  <c r="AY58" i="13"/>
  <c r="AQ274" i="13"/>
  <c r="AV274" i="13" s="1"/>
  <c r="AY150" i="13"/>
  <c r="AQ32" i="13"/>
  <c r="AV32" i="13" s="1"/>
  <c r="AY163" i="13"/>
  <c r="AI17" i="13"/>
  <c r="AN17" i="13" s="1"/>
  <c r="AQ186" i="13"/>
  <c r="AV186" i="13" s="1"/>
  <c r="AQ57" i="13"/>
  <c r="AV57" i="13" s="1"/>
  <c r="AY59" i="13"/>
  <c r="AQ91" i="13"/>
  <c r="AV91" i="13" s="1"/>
  <c r="AW55" i="13"/>
  <c r="AY55" i="13" s="1"/>
  <c r="AX55" i="13"/>
  <c r="AF270" i="13"/>
  <c r="AG253" i="13"/>
  <c r="AI253" i="13" s="1"/>
  <c r="AI270" i="13" s="1"/>
  <c r="X37" i="12" s="1"/>
  <c r="Z37" i="12" s="1"/>
  <c r="N17" i="12" s="1"/>
  <c r="K74" i="19" s="1"/>
  <c r="AN253" i="13"/>
  <c r="AE289" i="13"/>
  <c r="AW83" i="13"/>
  <c r="AX83" i="13"/>
  <c r="AW97" i="13"/>
  <c r="AX97" i="13"/>
  <c r="AO60" i="13"/>
  <c r="AQ60" i="13" s="1"/>
  <c r="AV60" i="13"/>
  <c r="AP60" i="13"/>
  <c r="AO226" i="13"/>
  <c r="AP226" i="13"/>
  <c r="K36" i="18"/>
  <c r="I37" i="18"/>
  <c r="K5" i="18"/>
  <c r="K73" i="18"/>
  <c r="AQ198" i="13"/>
  <c r="AV198" i="13" s="1"/>
  <c r="AO255" i="13"/>
  <c r="AP255" i="13"/>
  <c r="AG241" i="13"/>
  <c r="AI241" i="13" s="1"/>
  <c r="AN241" i="13" s="1"/>
  <c r="AH241" i="13"/>
  <c r="AO264" i="13"/>
  <c r="AQ264" i="13" s="1"/>
  <c r="AV264" i="13" s="1"/>
  <c r="AP264" i="13"/>
  <c r="AI129" i="13"/>
  <c r="AN129" i="13" s="1"/>
  <c r="AO149" i="13"/>
  <c r="AQ149" i="13" s="1"/>
  <c r="AV149" i="13" s="1"/>
  <c r="AP149" i="13"/>
  <c r="AO192" i="13"/>
  <c r="AQ192" i="13" s="1"/>
  <c r="AV192" i="13" s="1"/>
  <c r="AP192" i="13"/>
  <c r="AO220" i="13"/>
  <c r="AP220" i="13"/>
  <c r="AO56" i="13"/>
  <c r="AP56" i="13"/>
  <c r="AY13" i="13"/>
  <c r="AQ144" i="13"/>
  <c r="AV144" i="13" s="1"/>
  <c r="AK272" i="13"/>
  <c r="AJ290" i="7"/>
  <c r="A108" i="18" s="1"/>
  <c r="F108" i="18" s="1"/>
  <c r="AP273" i="7"/>
  <c r="AO68" i="13"/>
  <c r="AQ68" i="13" s="1"/>
  <c r="AV68" i="13" s="1"/>
  <c r="AP68" i="13"/>
  <c r="AQ140" i="13"/>
  <c r="AV140" i="13" s="1"/>
  <c r="AY79" i="13"/>
  <c r="AY11" i="13"/>
  <c r="AG123" i="13"/>
  <c r="AI123" i="13" s="1"/>
  <c r="AN123" i="13"/>
  <c r="AH123" i="13"/>
  <c r="AF272" i="13"/>
  <c r="AW199" i="13"/>
  <c r="AX199" i="13"/>
  <c r="AW265" i="13"/>
  <c r="AX265" i="13"/>
  <c r="AI240" i="13"/>
  <c r="AN240" i="13" s="1"/>
  <c r="V24" i="8"/>
  <c r="AA6" i="13"/>
  <c r="AW148" i="13"/>
  <c r="AY148" i="13" s="1"/>
  <c r="AX148" i="13"/>
  <c r="AQ83" i="7"/>
  <c r="AO100" i="7"/>
  <c r="E15" i="21"/>
  <c r="G15" i="21" s="1"/>
  <c r="AF15" i="19"/>
  <c r="AO238" i="13"/>
  <c r="AP238" i="13"/>
  <c r="AO131" i="13"/>
  <c r="AQ131" i="13" s="1"/>
  <c r="AV131" i="13" s="1"/>
  <c r="AP131" i="13"/>
  <c r="G100" i="19"/>
  <c r="AO16" i="13"/>
  <c r="AP16" i="13"/>
  <c r="AK196" i="13"/>
  <c r="AP197" i="7"/>
  <c r="AJ214" i="7"/>
  <c r="A104" i="18" s="1"/>
  <c r="F104" i="18" s="1"/>
  <c r="AE234" i="13"/>
  <c r="AC251" i="13"/>
  <c r="AO292" i="7"/>
  <c r="AI309" i="7"/>
  <c r="AG82" i="13"/>
  <c r="AF99" i="13"/>
  <c r="E73" i="18"/>
  <c r="AI9" i="13"/>
  <c r="AN9" i="13" s="1"/>
  <c r="AX11" i="13"/>
  <c r="AE232" i="13"/>
  <c r="AH215" i="13"/>
  <c r="AH232" i="13" s="1"/>
  <c r="AW153" i="13"/>
  <c r="AX153" i="13"/>
  <c r="X27" i="8"/>
  <c r="V9" i="8"/>
  <c r="X9" i="8" s="1"/>
  <c r="H28" i="19" s="1"/>
  <c r="W28" i="19" s="1"/>
  <c r="AK139" i="13"/>
  <c r="AJ157" i="7"/>
  <c r="A101" i="18" s="1"/>
  <c r="F101" i="18" s="1"/>
  <c r="AP140" i="7"/>
  <c r="AO230" i="13"/>
  <c r="AP230" i="13"/>
  <c r="E9" i="21"/>
  <c r="G9" i="21" s="1"/>
  <c r="AF9" i="19"/>
  <c r="AO62" i="7"/>
  <c r="AQ45" i="7"/>
  <c r="AW38" i="13"/>
  <c r="AX38" i="13"/>
  <c r="AI73" i="13"/>
  <c r="AN73" i="13" s="1"/>
  <c r="AQ70" i="13"/>
  <c r="AV70" i="13" s="1"/>
  <c r="AW267" i="13"/>
  <c r="AX267" i="13"/>
  <c r="AW261" i="13"/>
  <c r="AX261" i="13"/>
  <c r="E43" i="19"/>
  <c r="AY18" i="13"/>
  <c r="AQ14" i="13"/>
  <c r="AV14" i="13" s="1"/>
  <c r="AW197" i="13"/>
  <c r="AX197" i="13"/>
  <c r="AQ52" i="13"/>
  <c r="AV52" i="13" s="1"/>
  <c r="AW262" i="13"/>
  <c r="AY262" i="13" s="1"/>
  <c r="AX262" i="13"/>
  <c r="T23" i="8"/>
  <c r="S23" i="8"/>
  <c r="P40" i="8"/>
  <c r="AW173" i="13"/>
  <c r="AY173" i="13" s="1"/>
  <c r="AX173" i="13"/>
  <c r="AW227" i="13"/>
  <c r="AX227" i="13"/>
  <c r="AA63" i="13"/>
  <c r="AC137" i="13"/>
  <c r="AE120" i="13"/>
  <c r="AW95" i="13"/>
  <c r="AY95" i="13" s="1"/>
  <c r="AX95" i="13"/>
  <c r="AW235" i="7"/>
  <c r="AW252" i="7" s="1"/>
  <c r="AQ252" i="7"/>
  <c r="AB309" i="7"/>
  <c r="AH292" i="7"/>
  <c r="AQ49" i="13"/>
  <c r="AV49" i="13" s="1"/>
  <c r="AE42" i="13"/>
  <c r="AH25" i="13"/>
  <c r="AH42" i="13" s="1"/>
  <c r="Q104" i="14"/>
  <c r="H8" i="18"/>
  <c r="K55" i="18"/>
  <c r="AO164" i="13"/>
  <c r="AQ164" i="13" s="1"/>
  <c r="AV164" i="13" s="1"/>
  <c r="AP164" i="13"/>
  <c r="T37" i="12"/>
  <c r="K17" i="12" s="1"/>
  <c r="K55" i="19" s="1"/>
  <c r="AF35" i="8"/>
  <c r="AG35" i="8" s="1"/>
  <c r="AF44" i="13"/>
  <c r="Y44" i="13"/>
  <c r="AA44" i="13" s="1"/>
  <c r="AA61" i="13" s="1"/>
  <c r="R27" i="12" s="1"/>
  <c r="T27" i="12" s="1"/>
  <c r="K7" i="12" s="1"/>
  <c r="K45" i="19" s="1"/>
  <c r="X61" i="13"/>
  <c r="Z44" i="13"/>
  <c r="Z61" i="13" s="1"/>
  <c r="AQ229" i="13"/>
  <c r="AV229" i="13" s="1"/>
  <c r="AO65" i="13"/>
  <c r="AQ65" i="13" s="1"/>
  <c r="AV65" i="13"/>
  <c r="AP65" i="13"/>
  <c r="AW273" i="13"/>
  <c r="AY273" i="13" s="1"/>
  <c r="AX273" i="13"/>
  <c r="AW191" i="13"/>
  <c r="AY191" i="13" s="1"/>
  <c r="AX191" i="13"/>
  <c r="I73" i="18"/>
  <c r="E13" i="21"/>
  <c r="G13" i="21" s="1"/>
  <c r="AF13" i="19"/>
  <c r="AO237" i="13"/>
  <c r="AP237" i="13"/>
  <c r="AK177" i="13"/>
  <c r="AP178" i="7"/>
  <c r="AJ195" i="7"/>
  <c r="A103" i="18" s="1"/>
  <c r="F103" i="18" s="1"/>
  <c r="AO24" i="7"/>
  <c r="AQ7" i="7"/>
  <c r="L39" i="12"/>
  <c r="N39" i="12" s="1"/>
  <c r="Q67" i="14"/>
  <c r="M76" i="14"/>
  <c r="Q76" i="14" s="1"/>
  <c r="AI126" i="13"/>
  <c r="AN126" i="13" s="1"/>
  <c r="AQ180" i="13"/>
  <c r="AV180" i="13" s="1"/>
  <c r="AE156" i="13"/>
  <c r="AH139" i="13"/>
  <c r="AH156" i="13" s="1"/>
  <c r="AI7" i="13"/>
  <c r="AN7" i="13" s="1"/>
  <c r="T26" i="8"/>
  <c r="AC26" i="8" s="1"/>
  <c r="S26" i="8"/>
  <c r="V26" i="8"/>
  <c r="AO54" i="13"/>
  <c r="AQ54" i="13" s="1"/>
  <c r="AV54" i="13" s="1"/>
  <c r="AP54" i="13"/>
  <c r="AE213" i="13"/>
  <c r="AH196" i="13"/>
  <c r="AH213" i="13" s="1"/>
  <c r="AU18" i="8"/>
  <c r="AS19" i="8"/>
  <c r="AI208" i="13"/>
  <c r="AN208" i="13" s="1"/>
  <c r="AY282" i="13"/>
  <c r="AO151" i="13"/>
  <c r="AP151" i="13"/>
  <c r="AK253" i="13"/>
  <c r="AJ271" i="7"/>
  <c r="A107" i="18" s="1"/>
  <c r="F107" i="18" s="1"/>
  <c r="AP254" i="7"/>
  <c r="X24" i="9"/>
  <c r="Z24" i="9" s="1"/>
  <c r="AQ21" i="13"/>
  <c r="AV21" i="13" s="1"/>
  <c r="AW92" i="13"/>
  <c r="AY92" i="13" s="1"/>
  <c r="AX92" i="13"/>
  <c r="AW51" i="13"/>
  <c r="AY51" i="13" s="1"/>
  <c r="AX51" i="13"/>
  <c r="AI87" i="13"/>
  <c r="AN87" i="13" s="1"/>
  <c r="AW221" i="13"/>
  <c r="AX221" i="13"/>
  <c r="AY146" i="13"/>
  <c r="AO179" i="13"/>
  <c r="AP179" i="13"/>
  <c r="AW161" i="13"/>
  <c r="AX161" i="13"/>
  <c r="AW273" i="7"/>
  <c r="AW290" i="7" s="1"/>
  <c r="AQ290" i="7"/>
  <c r="AI88" i="13"/>
  <c r="AN88" i="13" s="1"/>
  <c r="E12" i="21"/>
  <c r="G12" i="21" s="1"/>
  <c r="AF12" i="19"/>
  <c r="K34" i="8"/>
  <c r="I16" i="8"/>
  <c r="K16" i="8" s="1"/>
  <c r="H16" i="19" s="1"/>
  <c r="W16" i="19" s="1"/>
  <c r="AQ67" i="13"/>
  <c r="AV67" i="13" s="1"/>
  <c r="AE175" i="13"/>
  <c r="AH158" i="13"/>
  <c r="AH175" i="13" s="1"/>
  <c r="AQ247" i="13"/>
  <c r="AV247" i="13" s="1"/>
  <c r="AY275" i="13"/>
  <c r="AQ218" i="13"/>
  <c r="AV218" i="13" s="1"/>
  <c r="AY263" i="13"/>
  <c r="AI249" i="13"/>
  <c r="AN249" i="13" s="1"/>
  <c r="AQ250" i="13"/>
  <c r="AV250" i="13" s="1"/>
  <c r="AY205" i="13"/>
  <c r="AY159" i="13"/>
  <c r="AY160" i="13"/>
  <c r="AI10" i="13"/>
  <c r="AN10" i="13" s="1"/>
  <c r="AQ28" i="13"/>
  <c r="AV28" i="13" s="1"/>
  <c r="BJ57" i="8"/>
  <c r="BJ61" i="8" s="1"/>
  <c r="BF18" i="8"/>
  <c r="BH61" i="8"/>
  <c r="AG139" i="13"/>
  <c r="AF156" i="13"/>
  <c r="Q85" i="14"/>
  <c r="AW178" i="7"/>
  <c r="AW195" i="7" s="1"/>
  <c r="AQ195" i="7"/>
  <c r="AO166" i="13"/>
  <c r="AP166" i="13"/>
  <c r="AW209" i="13"/>
  <c r="AY209" i="13" s="1"/>
  <c r="AX209" i="13"/>
  <c r="Q5" i="19"/>
  <c r="AY248" i="13"/>
  <c r="AW268" i="13"/>
  <c r="AX268" i="13"/>
  <c r="AH81" i="7"/>
  <c r="AJ64" i="7"/>
  <c r="AG243" i="13"/>
  <c r="AH243" i="13"/>
  <c r="E11" i="21"/>
  <c r="G11" i="21" s="1"/>
  <c r="AF11" i="19"/>
  <c r="E6" i="21"/>
  <c r="G6" i="21" s="1"/>
  <c r="AF6" i="19"/>
  <c r="AH24" i="7"/>
  <c r="AJ7" i="7"/>
  <c r="K24" i="19"/>
  <c r="K38" i="19" s="1"/>
  <c r="L8" i="23" s="1"/>
  <c r="P8" i="23" s="1"/>
  <c r="H19" i="12"/>
  <c r="M86" i="14"/>
  <c r="Q86" i="14" s="1"/>
  <c r="R30" i="15"/>
  <c r="M105" i="14" s="1"/>
  <c r="Q105" i="14" s="1"/>
  <c r="Y234" i="13"/>
  <c r="AA234" i="13" s="1"/>
  <c r="AA251" i="13" s="1"/>
  <c r="R36" i="12" s="1"/>
  <c r="T36" i="12" s="1"/>
  <c r="K16" i="12" s="1"/>
  <c r="K54" i="19" s="1"/>
  <c r="X251" i="13"/>
  <c r="AF234" i="13"/>
  <c r="AE99" i="13"/>
  <c r="AH82" i="13"/>
  <c r="AH99" i="13" s="1"/>
  <c r="L33" i="9"/>
  <c r="N33" i="9"/>
  <c r="I41" i="9"/>
  <c r="AO90" i="13"/>
  <c r="AQ90" i="13" s="1"/>
  <c r="AV90" i="13" s="1"/>
  <c r="AP90" i="13"/>
  <c r="AK158" i="13"/>
  <c r="AJ176" i="7"/>
  <c r="A102" i="18" s="1"/>
  <c r="F102" i="18" s="1"/>
  <c r="AP159" i="7"/>
  <c r="AG46" i="9"/>
  <c r="AD63" i="9"/>
  <c r="I8" i="8"/>
  <c r="K8" i="8" s="1"/>
  <c r="H8" i="19" s="1"/>
  <c r="W8" i="19" s="1"/>
  <c r="K26" i="8"/>
  <c r="AO278" i="13"/>
  <c r="AP278" i="13"/>
  <c r="T38" i="12"/>
  <c r="K18" i="12" s="1"/>
  <c r="K56" i="19" s="1"/>
  <c r="AF37" i="8"/>
  <c r="AF36" i="8"/>
  <c r="AF39" i="8"/>
  <c r="AG39" i="8" s="1"/>
  <c r="AF38" i="8"/>
  <c r="AG38" i="8" s="1"/>
  <c r="AQ26" i="7"/>
  <c r="AO43" i="7"/>
  <c r="AW206" i="13"/>
  <c r="AY206" i="13" s="1"/>
  <c r="AX206" i="13"/>
  <c r="AG24" i="8"/>
  <c r="AP24" i="8" s="1"/>
  <c r="AF24" i="8"/>
  <c r="AI24" i="8"/>
  <c r="AO20" i="13"/>
  <c r="AQ20" i="13" s="1"/>
  <c r="AV20" i="13" s="1"/>
  <c r="AP20" i="13"/>
  <c r="AO130" i="13"/>
  <c r="AQ130" i="13" s="1"/>
  <c r="AV130" i="13" s="1"/>
  <c r="AP130" i="13"/>
  <c r="AQ128" i="13"/>
  <c r="AV128" i="13" s="1"/>
  <c r="AY244" i="13"/>
  <c r="AW254" i="13"/>
  <c r="AX254" i="13"/>
  <c r="AW141" i="13"/>
  <c r="AX141" i="13"/>
  <c r="AW155" i="13"/>
  <c r="AX155" i="13"/>
  <c r="AW260" i="13"/>
  <c r="AX260" i="13"/>
  <c r="E10" i="21"/>
  <c r="G10" i="21" s="1"/>
  <c r="AF10" i="19"/>
  <c r="AH252" i="7"/>
  <c r="AJ235" i="7"/>
  <c r="AO170" i="13"/>
  <c r="AQ170" i="13" s="1"/>
  <c r="AV170" i="13"/>
  <c r="AP170" i="13"/>
  <c r="AO31" i="13"/>
  <c r="AQ31" i="13" s="1"/>
  <c r="AV31" i="13" s="1"/>
  <c r="AP31" i="13"/>
  <c r="AA120" i="13"/>
  <c r="AQ280" i="13"/>
  <c r="AV280" i="13" s="1"/>
  <c r="AW216" i="7"/>
  <c r="AW233" i="7" s="1"/>
  <c r="AQ233" i="7"/>
  <c r="N75" i="19"/>
  <c r="E90" i="18"/>
  <c r="AO271" i="7"/>
  <c r="AQ254" i="7"/>
  <c r="AE61" i="13"/>
  <c r="AH44" i="13"/>
  <c r="AH61" i="13" s="1"/>
  <c r="AF27" i="8"/>
  <c r="AG27" i="8"/>
  <c r="AP27" i="8" s="1"/>
  <c r="S34" i="8"/>
  <c r="T34" i="8" s="1"/>
  <c r="AI125" i="13"/>
  <c r="AN125" i="13" s="1"/>
  <c r="AI236" i="13"/>
  <c r="AN236" i="13" s="1"/>
  <c r="AQ74" i="13"/>
  <c r="AV74" i="13" s="1"/>
  <c r="AQ181" i="13" l="1"/>
  <c r="AV181" i="13" s="1"/>
  <c r="N5" i="9"/>
  <c r="AW68" i="13"/>
  <c r="AY68" i="13" s="1"/>
  <c r="AX68" i="13"/>
  <c r="AW264" i="13"/>
  <c r="AY264" i="13" s="1"/>
  <c r="AX264" i="13"/>
  <c r="AO69" i="13"/>
  <c r="AP69" i="13"/>
  <c r="AC34" i="8"/>
  <c r="V34" i="8"/>
  <c r="AP39" i="8"/>
  <c r="AI39" i="8"/>
  <c r="AK39" i="8" s="1"/>
  <c r="AW54" i="13"/>
  <c r="AY54" i="13" s="1"/>
  <c r="AX54" i="13"/>
  <c r="AW149" i="13"/>
  <c r="AY149" i="13" s="1"/>
  <c r="AX149" i="13"/>
  <c r="AO127" i="13"/>
  <c r="AP127" i="13"/>
  <c r="AW12" i="13"/>
  <c r="AX12" i="13"/>
  <c r="AW136" i="13"/>
  <c r="AX136" i="13"/>
  <c r="AP38" i="8"/>
  <c r="AI38" i="8"/>
  <c r="AK38" i="8" s="1"/>
  <c r="AW130" i="13"/>
  <c r="AX130" i="13"/>
  <c r="AW164" i="13"/>
  <c r="AX164" i="13"/>
  <c r="AO241" i="13"/>
  <c r="AQ241" i="13" s="1"/>
  <c r="AV241" i="13"/>
  <c r="AP241" i="13"/>
  <c r="AW181" i="13"/>
  <c r="AY181" i="13" s="1"/>
  <c r="AX181" i="13"/>
  <c r="AW31" i="13"/>
  <c r="AY31" i="13" s="1"/>
  <c r="AX31" i="13"/>
  <c r="AW90" i="13"/>
  <c r="AY90" i="13" s="1"/>
  <c r="AX90" i="13"/>
  <c r="AW192" i="13"/>
  <c r="AY192" i="13" s="1"/>
  <c r="AX192" i="13"/>
  <c r="AW134" i="13"/>
  <c r="AY134" i="13" s="1"/>
  <c r="AX134" i="13"/>
  <c r="AW20" i="13"/>
  <c r="AY20" i="13" s="1"/>
  <c r="AX20" i="13"/>
  <c r="AW131" i="13"/>
  <c r="AY131" i="13" s="1"/>
  <c r="AX131" i="13"/>
  <c r="AW64" i="13"/>
  <c r="AY64" i="13" s="1"/>
  <c r="AX64" i="13"/>
  <c r="AW135" i="13"/>
  <c r="AY135" i="13" s="1"/>
  <c r="AX135" i="13"/>
  <c r="AO125" i="13"/>
  <c r="AP125" i="13"/>
  <c r="AW280" i="13"/>
  <c r="AX280" i="13"/>
  <c r="AK234" i="13"/>
  <c r="AJ252" i="7"/>
  <c r="A106" i="18" s="1"/>
  <c r="F106" i="18" s="1"/>
  <c r="AP235" i="7"/>
  <c r="E8" i="21"/>
  <c r="G8" i="21" s="1"/>
  <c r="AF8" i="19"/>
  <c r="AI27" i="8"/>
  <c r="AA137" i="13"/>
  <c r="R30" i="12" s="1"/>
  <c r="T30" i="12" s="1"/>
  <c r="K10" i="12" s="1"/>
  <c r="K48" i="19" s="1"/>
  <c r="AF120" i="13"/>
  <c r="AY260" i="13"/>
  <c r="AY141" i="13"/>
  <c r="AW128" i="13"/>
  <c r="AX128" i="13"/>
  <c r="AQ278" i="13"/>
  <c r="AV278" i="13" s="1"/>
  <c r="AK175" i="13"/>
  <c r="AM158" i="13"/>
  <c r="N105" i="19"/>
  <c r="E118" i="18"/>
  <c r="AK6" i="13"/>
  <c r="AK23" i="13" s="1"/>
  <c r="AJ24" i="7"/>
  <c r="A95" i="18" s="1"/>
  <c r="F95" i="18" s="1"/>
  <c r="AP7" i="7"/>
  <c r="AI243" i="13"/>
  <c r="AN243" i="13" s="1"/>
  <c r="AY268" i="13"/>
  <c r="AQ166" i="13"/>
  <c r="AV166" i="13" s="1"/>
  <c r="M95" i="14"/>
  <c r="Q95" i="14" s="1"/>
  <c r="AI139" i="13"/>
  <c r="AW28" i="13"/>
  <c r="AY28" i="13" s="1"/>
  <c r="AX28" i="13"/>
  <c r="AW218" i="13"/>
  <c r="AY218" i="13" s="1"/>
  <c r="AX218" i="13"/>
  <c r="AY221" i="13"/>
  <c r="AK270" i="13"/>
  <c r="AM253" i="13"/>
  <c r="AO7" i="13"/>
  <c r="AQ7" i="13" s="1"/>
  <c r="AV7" i="13" s="1"/>
  <c r="AP7" i="13"/>
  <c r="AO126" i="13"/>
  <c r="AP126" i="13"/>
  <c r="AW7" i="7"/>
  <c r="AW24" i="7" s="1"/>
  <c r="AQ24" i="7"/>
  <c r="AK194" i="13"/>
  <c r="AM177" i="13"/>
  <c r="AQ237" i="13"/>
  <c r="AV237" i="13" s="1"/>
  <c r="AP35" i="8"/>
  <c r="AI35" i="8"/>
  <c r="N104" i="19"/>
  <c r="E117" i="18"/>
  <c r="AJ292" i="7"/>
  <c r="AH309" i="7"/>
  <c r="AA80" i="13"/>
  <c r="R28" i="12" s="1"/>
  <c r="T28" i="12" s="1"/>
  <c r="K8" i="12" s="1"/>
  <c r="K46" i="19" s="1"/>
  <c r="AF63" i="13"/>
  <c r="S40" i="8"/>
  <c r="AY197" i="13"/>
  <c r="AY267" i="13"/>
  <c r="AY38" i="13"/>
  <c r="H9" i="21"/>
  <c r="I9" i="21"/>
  <c r="J9" i="21" s="1"/>
  <c r="AR140" i="7"/>
  <c r="AP157" i="7"/>
  <c r="AQ16" i="13"/>
  <c r="AV16" i="13" s="1"/>
  <c r="AQ238" i="13"/>
  <c r="AV238" i="13" s="1"/>
  <c r="AA23" i="13"/>
  <c r="R25" i="12" s="1"/>
  <c r="AF6" i="13"/>
  <c r="AY265" i="13"/>
  <c r="AW144" i="13"/>
  <c r="AY144" i="13" s="1"/>
  <c r="AX144" i="13"/>
  <c r="AQ56" i="13"/>
  <c r="AV56" i="13" s="1"/>
  <c r="AW198" i="13"/>
  <c r="AX198" i="13"/>
  <c r="E18" i="18"/>
  <c r="K37" i="18"/>
  <c r="AY97" i="13"/>
  <c r="AW57" i="13"/>
  <c r="AY57" i="13" s="1"/>
  <c r="AX57" i="13"/>
  <c r="AW32" i="13"/>
  <c r="AY32" i="13" s="1"/>
  <c r="AX32" i="13"/>
  <c r="AW165" i="13"/>
  <c r="AY165" i="13" s="1"/>
  <c r="AX165" i="13"/>
  <c r="N113" i="19"/>
  <c r="E126" i="18"/>
  <c r="AQ235" i="13"/>
  <c r="AV235" i="13" s="1"/>
  <c r="AQ81" i="7"/>
  <c r="AW64" i="7"/>
  <c r="AW81" i="7" s="1"/>
  <c r="AP62" i="7"/>
  <c r="AR45" i="7"/>
  <c r="AQ277" i="13"/>
  <c r="AV277" i="13" s="1"/>
  <c r="AQ189" i="13"/>
  <c r="AV189" i="13" s="1"/>
  <c r="AQ15" i="13"/>
  <c r="AV15" i="13" s="1"/>
  <c r="T35" i="21"/>
  <c r="AB35" i="21" s="1"/>
  <c r="AF175" i="13"/>
  <c r="AN158" i="13"/>
  <c r="AG158" i="13"/>
  <c r="AI158" i="13" s="1"/>
  <c r="AI175" i="13" s="1"/>
  <c r="X32" i="12" s="1"/>
  <c r="Z32" i="12" s="1"/>
  <c r="N12" i="12" s="1"/>
  <c r="K69" i="19" s="1"/>
  <c r="AK232" i="13"/>
  <c r="AM215" i="13"/>
  <c r="AW37" i="13"/>
  <c r="AY37" i="13" s="1"/>
  <c r="AX37" i="13"/>
  <c r="I7" i="21"/>
  <c r="J7" i="21" s="1"/>
  <c r="K40" i="8"/>
  <c r="AQ122" i="13"/>
  <c r="AV122" i="13" s="1"/>
  <c r="D81" i="19"/>
  <c r="P19" i="9"/>
  <c r="AQ22" i="13"/>
  <c r="AV22" i="13" s="1"/>
  <c r="AY84" i="13"/>
  <c r="AG30" i="8"/>
  <c r="AP30" i="8" s="1"/>
  <c r="AF30" i="8"/>
  <c r="AY184" i="13"/>
  <c r="AF29" i="8"/>
  <c r="AG29" i="8" s="1"/>
  <c r="AY171" i="13"/>
  <c r="AY259" i="13"/>
  <c r="AQ76" i="13"/>
  <c r="AV76" i="13" s="1"/>
  <c r="X31" i="8"/>
  <c r="V13" i="8"/>
  <c r="X13" i="8" s="1"/>
  <c r="H32" i="19" s="1"/>
  <c r="W32" i="19" s="1"/>
  <c r="AW170" i="13"/>
  <c r="AY170" i="13" s="1"/>
  <c r="AX170" i="13"/>
  <c r="AQ43" i="7"/>
  <c r="AW26" i="7"/>
  <c r="AW43" i="7" s="1"/>
  <c r="AF251" i="13"/>
  <c r="AG234" i="13"/>
  <c r="N86" i="19"/>
  <c r="E100" i="18"/>
  <c r="H11" i="21"/>
  <c r="I11" i="21"/>
  <c r="J11" i="21" s="1"/>
  <c r="AK63" i="13"/>
  <c r="AP64" i="7"/>
  <c r="AJ81" i="7"/>
  <c r="A98" i="18" s="1"/>
  <c r="F98" i="18" s="1"/>
  <c r="N85" i="19"/>
  <c r="E99" i="18"/>
  <c r="AO10" i="13"/>
  <c r="AP10" i="13"/>
  <c r="AW250" i="13"/>
  <c r="AY250" i="13" s="1"/>
  <c r="AX250" i="13"/>
  <c r="AW67" i="13"/>
  <c r="AY67" i="13" s="1"/>
  <c r="AX67" i="13"/>
  <c r="H12" i="21"/>
  <c r="I12" i="21"/>
  <c r="J12" i="21" s="1"/>
  <c r="AQ179" i="13"/>
  <c r="AV179" i="13" s="1"/>
  <c r="AO87" i="13"/>
  <c r="AP87" i="13"/>
  <c r="AO208" i="13"/>
  <c r="AP208" i="13"/>
  <c r="V8" i="8"/>
  <c r="X8" i="8" s="1"/>
  <c r="H27" i="19" s="1"/>
  <c r="X26" i="8"/>
  <c r="AW65" i="13"/>
  <c r="AX65" i="13"/>
  <c r="T40" i="8"/>
  <c r="AC23" i="8"/>
  <c r="AW14" i="13"/>
  <c r="AX14" i="13"/>
  <c r="AW70" i="13"/>
  <c r="AX70" i="13"/>
  <c r="AW45" i="7"/>
  <c r="AW62" i="7" s="1"/>
  <c r="AQ62" i="7"/>
  <c r="AO309" i="7"/>
  <c r="AQ292" i="7"/>
  <c r="AR197" i="7"/>
  <c r="AP214" i="7"/>
  <c r="AQ100" i="7"/>
  <c r="AW83" i="7"/>
  <c r="AW100" i="7" s="1"/>
  <c r="V6" i="8"/>
  <c r="X6" i="8" s="1"/>
  <c r="H25" i="19" s="1"/>
  <c r="W25" i="19" s="1"/>
  <c r="X24" i="8"/>
  <c r="AO123" i="13"/>
  <c r="AP123" i="13"/>
  <c r="AW140" i="13"/>
  <c r="AX140" i="13"/>
  <c r="AR273" i="7"/>
  <c r="AP290" i="7"/>
  <c r="AW60" i="13"/>
  <c r="AX60" i="13"/>
  <c r="AN270" i="13"/>
  <c r="AO253" i="13"/>
  <c r="AW186" i="13"/>
  <c r="AX186" i="13"/>
  <c r="AK99" i="13"/>
  <c r="AM82" i="13"/>
  <c r="N94" i="19"/>
  <c r="E108" i="18"/>
  <c r="AW167" i="13"/>
  <c r="AY167" i="13" s="1"/>
  <c r="AX167" i="13"/>
  <c r="AW283" i="13"/>
  <c r="AY283" i="13" s="1"/>
  <c r="AX283" i="13"/>
  <c r="AP43" i="7"/>
  <c r="AR26" i="7"/>
  <c r="AO66" i="13"/>
  <c r="AQ66" i="13" s="1"/>
  <c r="AV66" i="13"/>
  <c r="AP66" i="13"/>
  <c r="AO228" i="13"/>
  <c r="AP228" i="13"/>
  <c r="AW143" i="13"/>
  <c r="AX143" i="13"/>
  <c r="AE62" i="19"/>
  <c r="X36" i="8"/>
  <c r="V18" i="8"/>
  <c r="X18" i="8" s="1"/>
  <c r="H37" i="19" s="1"/>
  <c r="W37" i="19" s="1"/>
  <c r="AF37" i="19" s="1"/>
  <c r="AW133" i="13"/>
  <c r="AX133" i="13"/>
  <c r="AW174" i="13"/>
  <c r="AX174" i="13"/>
  <c r="AW245" i="13"/>
  <c r="AX245" i="13"/>
  <c r="AW74" i="13"/>
  <c r="AY74" i="13" s="1"/>
  <c r="AX74" i="13"/>
  <c r="AW254" i="7"/>
  <c r="AW271" i="7" s="1"/>
  <c r="AQ271" i="7"/>
  <c r="AG63" i="9"/>
  <c r="AJ46" i="9"/>
  <c r="AJ63" i="9" s="1"/>
  <c r="H14" i="9"/>
  <c r="N41" i="9"/>
  <c r="AO236" i="13"/>
  <c r="AP236" i="13"/>
  <c r="I10" i="21"/>
  <c r="J10" i="21" s="1"/>
  <c r="AY155" i="13"/>
  <c r="AY254" i="13"/>
  <c r="AR159" i="7"/>
  <c r="AP176" i="7"/>
  <c r="O33" i="9"/>
  <c r="L41" i="9"/>
  <c r="BH18" i="8"/>
  <c r="BF19" i="8"/>
  <c r="AO249" i="13"/>
  <c r="AQ249" i="13" s="1"/>
  <c r="AV249" i="13" s="1"/>
  <c r="AP249" i="13"/>
  <c r="AW247" i="13"/>
  <c r="AX247" i="13"/>
  <c r="E16" i="21"/>
  <c r="G16" i="21" s="1"/>
  <c r="AF16" i="19"/>
  <c r="AO88" i="13"/>
  <c r="AQ88" i="13" s="1"/>
  <c r="AV88" i="13" s="1"/>
  <c r="AP88" i="13"/>
  <c r="AY161" i="13"/>
  <c r="AW21" i="13"/>
  <c r="AX21" i="13"/>
  <c r="AP271" i="7"/>
  <c r="AR254" i="7"/>
  <c r="AQ151" i="13"/>
  <c r="AV151" i="13" s="1"/>
  <c r="N67" i="19"/>
  <c r="N76" i="19" s="1"/>
  <c r="AB9" i="23" s="1"/>
  <c r="E82" i="18"/>
  <c r="I13" i="21"/>
  <c r="J13" i="21" s="1"/>
  <c r="Q27" i="19"/>
  <c r="Q38" i="19" s="1"/>
  <c r="L10" i="23" s="1"/>
  <c r="H19" i="18"/>
  <c r="AE137" i="13"/>
  <c r="AH120" i="13"/>
  <c r="AH137" i="13" s="1"/>
  <c r="AY227" i="13"/>
  <c r="V23" i="8"/>
  <c r="AW52" i="13"/>
  <c r="AX52" i="13"/>
  <c r="AY261" i="13"/>
  <c r="AO73" i="13"/>
  <c r="AP73" i="13"/>
  <c r="AQ230" i="13"/>
  <c r="AV230" i="13" s="1"/>
  <c r="AK156" i="13"/>
  <c r="AM139" i="13"/>
  <c r="AY153" i="13"/>
  <c r="AK213" i="13"/>
  <c r="AM196" i="13"/>
  <c r="AO240" i="13"/>
  <c r="AP240" i="13"/>
  <c r="AY199" i="13"/>
  <c r="AO129" i="13"/>
  <c r="AQ129" i="13" s="1"/>
  <c r="AV129" i="13"/>
  <c r="AP129" i="13"/>
  <c r="AQ255" i="13"/>
  <c r="AV255" i="13" s="1"/>
  <c r="Q43" i="19"/>
  <c r="Q57" i="19" s="1"/>
  <c r="T10" i="23" s="1"/>
  <c r="K19" i="18"/>
  <c r="AQ226" i="13"/>
  <c r="AV226" i="13" s="1"/>
  <c r="AY83" i="13"/>
  <c r="AW91" i="13"/>
  <c r="AX91" i="13"/>
  <c r="AO17" i="13"/>
  <c r="AP17" i="13"/>
  <c r="AW274" i="13"/>
  <c r="AY274" i="13" s="1"/>
  <c r="AX274" i="13"/>
  <c r="AQ157" i="7"/>
  <c r="AW140" i="7"/>
  <c r="AW157" i="7" s="1"/>
  <c r="AW211" i="13"/>
  <c r="AY211" i="13" s="1"/>
  <c r="AX211" i="13"/>
  <c r="AQ138" i="7"/>
  <c r="AW121" i="7"/>
  <c r="AW138" i="7" s="1"/>
  <c r="AC25" i="8"/>
  <c r="V25" i="8"/>
  <c r="AO223" i="13"/>
  <c r="AP223" i="13"/>
  <c r="AO152" i="13"/>
  <c r="AP152" i="13"/>
  <c r="AI25" i="13"/>
  <c r="AK61" i="13"/>
  <c r="AM44" i="13"/>
  <c r="AA194" i="13"/>
  <c r="R33" i="12" s="1"/>
  <c r="T33" i="12" s="1"/>
  <c r="K13" i="12" s="1"/>
  <c r="K51" i="19" s="1"/>
  <c r="AF177" i="13"/>
  <c r="AW50" i="13"/>
  <c r="AX50" i="13"/>
  <c r="V35" i="21"/>
  <c r="AJ35" i="21" s="1"/>
  <c r="H35" i="21" s="1"/>
  <c r="I35" i="21" s="1"/>
  <c r="J35" i="21" s="1"/>
  <c r="BS57" i="8"/>
  <c r="BS61" i="8" s="1"/>
  <c r="BP61" i="8"/>
  <c r="AY162" i="13"/>
  <c r="AY217" i="13"/>
  <c r="AG36" i="8"/>
  <c r="AP36" i="8" s="1"/>
  <c r="AI36" i="8"/>
  <c r="AY193" i="13"/>
  <c r="AY46" i="13"/>
  <c r="AY256" i="13"/>
  <c r="AQ246" i="13"/>
  <c r="AV246" i="13" s="1"/>
  <c r="AY168" i="13"/>
  <c r="X33" i="8"/>
  <c r="V15" i="8"/>
  <c r="X15" i="8" s="1"/>
  <c r="H34" i="19" s="1"/>
  <c r="W34" i="19" s="1"/>
  <c r="AQ239" i="13"/>
  <c r="AV239" i="13" s="1"/>
  <c r="V10" i="8"/>
  <c r="X10" i="8" s="1"/>
  <c r="H29" i="19" s="1"/>
  <c r="W29" i="19" s="1"/>
  <c r="X28" i="8"/>
  <c r="AK24" i="8"/>
  <c r="AI6" i="8"/>
  <c r="AK6" i="8" s="1"/>
  <c r="H44" i="19" s="1"/>
  <c r="W44" i="19" s="1"/>
  <c r="I6" i="21"/>
  <c r="J6" i="21" s="1"/>
  <c r="AA24" i="9"/>
  <c r="G75" i="19"/>
  <c r="AU19" i="8"/>
  <c r="AF26" i="8"/>
  <c r="AG26" i="8" s="1"/>
  <c r="AW180" i="13"/>
  <c r="AY180" i="13" s="1"/>
  <c r="AX180" i="13"/>
  <c r="AR178" i="7"/>
  <c r="AP195" i="7"/>
  <c r="AW229" i="13"/>
  <c r="AY229" i="13" s="1"/>
  <c r="AX229" i="13"/>
  <c r="AF61" i="13"/>
  <c r="AG44" i="13"/>
  <c r="AI44" i="13" s="1"/>
  <c r="AI61" i="13" s="1"/>
  <c r="X27" i="12" s="1"/>
  <c r="Z27" i="12" s="1"/>
  <c r="N7" i="12" s="1"/>
  <c r="K64" i="19" s="1"/>
  <c r="M114" i="14"/>
  <c r="Q114" i="14" s="1"/>
  <c r="AW49" i="13"/>
  <c r="AY49" i="13" s="1"/>
  <c r="AX49" i="13"/>
  <c r="E27" i="21"/>
  <c r="G27" i="21" s="1"/>
  <c r="AF28" i="19"/>
  <c r="AO9" i="13"/>
  <c r="AP9" i="13"/>
  <c r="AI82" i="13"/>
  <c r="AE251" i="13"/>
  <c r="AH234" i="13"/>
  <c r="AH251" i="13" s="1"/>
  <c r="I15" i="21"/>
  <c r="J15" i="21" s="1"/>
  <c r="AF289" i="13"/>
  <c r="AG272" i="13"/>
  <c r="AK289" i="13"/>
  <c r="AM272" i="13"/>
  <c r="AQ220" i="13"/>
  <c r="AV220" i="13" s="1"/>
  <c r="AH272" i="13"/>
  <c r="AH289" i="13" s="1"/>
  <c r="AR83" i="7"/>
  <c r="AP100" i="7"/>
  <c r="AI196" i="13"/>
  <c r="AW202" i="13"/>
  <c r="AX202" i="13"/>
  <c r="AO279" i="13"/>
  <c r="AQ279" i="13" s="1"/>
  <c r="AV279" i="13"/>
  <c r="AP279" i="13"/>
  <c r="AQ121" i="13"/>
  <c r="AV121" i="13" s="1"/>
  <c r="AW159" i="7"/>
  <c r="AW176" i="7" s="1"/>
  <c r="AQ176" i="7"/>
  <c r="AK42" i="13"/>
  <c r="AM25" i="13"/>
  <c r="AI77" i="13"/>
  <c r="AN77" i="13" s="1"/>
  <c r="AE80" i="13"/>
  <c r="AH63" i="13"/>
  <c r="AH80" i="13" s="1"/>
  <c r="AK120" i="13"/>
  <c r="AP121" i="7"/>
  <c r="AJ138" i="7"/>
  <c r="A100" i="18" s="1"/>
  <c r="F100" i="18" s="1"/>
  <c r="AR216" i="7"/>
  <c r="AP233" i="7"/>
  <c r="W14" i="19"/>
  <c r="E19" i="19"/>
  <c r="D6" i="23" s="1"/>
  <c r="H6" i="23" s="1"/>
  <c r="AI215" i="13"/>
  <c r="I19" i="8"/>
  <c r="K5" i="8"/>
  <c r="V12" i="8"/>
  <c r="X12" i="8" s="1"/>
  <c r="H31" i="19" s="1"/>
  <c r="W31" i="19" s="1"/>
  <c r="X30" i="8"/>
  <c r="X29" i="8"/>
  <c r="V11" i="8"/>
  <c r="X11" i="8" s="1"/>
  <c r="H30" i="19" s="1"/>
  <c r="W30" i="19" s="1"/>
  <c r="AK32" i="8"/>
  <c r="AI14" i="8"/>
  <c r="AK14" i="8" s="1"/>
  <c r="H52" i="19" s="1"/>
  <c r="AG33" i="8"/>
  <c r="AP33" i="8" s="1"/>
  <c r="AF33" i="8"/>
  <c r="AI33" i="8"/>
  <c r="AG37" i="8"/>
  <c r="AP37" i="8" s="1"/>
  <c r="AF28" i="8"/>
  <c r="AG28" i="8" s="1"/>
  <c r="AY186" i="13" l="1"/>
  <c r="H7" i="21"/>
  <c r="H10" i="21"/>
  <c r="AW88" i="13"/>
  <c r="AY88" i="13" s="1"/>
  <c r="AX88" i="13"/>
  <c r="AW7" i="13"/>
  <c r="AY7" i="13" s="1"/>
  <c r="AX7" i="13"/>
  <c r="AP26" i="8"/>
  <c r="AI26" i="8"/>
  <c r="AW249" i="13"/>
  <c r="AY249" i="13" s="1"/>
  <c r="AX249" i="13"/>
  <c r="AP29" i="8"/>
  <c r="AI29" i="8"/>
  <c r="AP28" i="8"/>
  <c r="AI28" i="8"/>
  <c r="E30" i="21"/>
  <c r="G30" i="21" s="1"/>
  <c r="AF31" i="19"/>
  <c r="AK137" i="13"/>
  <c r="AM120" i="13"/>
  <c r="AM42" i="13"/>
  <c r="AI37" i="8"/>
  <c r="AI232" i="13"/>
  <c r="X35" i="12" s="1"/>
  <c r="Z35" i="12" s="1"/>
  <c r="N15" i="12" s="1"/>
  <c r="K72" i="19" s="1"/>
  <c r="AN215" i="13"/>
  <c r="AS215" i="13"/>
  <c r="AX216" i="7"/>
  <c r="AX233" i="7" s="1"/>
  <c r="AR233" i="7"/>
  <c r="A123" i="18" s="1"/>
  <c r="F123" i="18" s="1"/>
  <c r="AY202" i="13"/>
  <c r="AI272" i="13"/>
  <c r="H15" i="21"/>
  <c r="AI99" i="13"/>
  <c r="X29" i="12" s="1"/>
  <c r="AN82" i="13"/>
  <c r="H6" i="21"/>
  <c r="E28" i="21"/>
  <c r="G28" i="21" s="1"/>
  <c r="I28" i="21" s="1"/>
  <c r="J28" i="21" s="1"/>
  <c r="AF29" i="19"/>
  <c r="AY50" i="13"/>
  <c r="AQ152" i="13"/>
  <c r="AV152" i="13" s="1"/>
  <c r="X25" i="8"/>
  <c r="V7" i="8"/>
  <c r="X7" i="8" s="1"/>
  <c r="H26" i="19" s="1"/>
  <c r="W26" i="19" s="1"/>
  <c r="AQ17" i="13"/>
  <c r="AV17" i="13" s="1"/>
  <c r="AW226" i="13"/>
  <c r="AX226" i="13"/>
  <c r="AW230" i="13"/>
  <c r="AX230" i="13"/>
  <c r="N10" i="23"/>
  <c r="O10" i="23" s="1"/>
  <c r="P10" i="23" s="1"/>
  <c r="E91" i="18"/>
  <c r="I16" i="21"/>
  <c r="J16" i="21" s="1"/>
  <c r="E33" i="19"/>
  <c r="H19" i="9"/>
  <c r="AY245" i="13"/>
  <c r="AY133" i="13"/>
  <c r="AS272" i="13"/>
  <c r="AR290" i="7"/>
  <c r="A126" i="18" s="1"/>
  <c r="F126" i="18" s="1"/>
  <c r="AX273" i="7"/>
  <c r="AX290" i="7" s="1"/>
  <c r="AQ123" i="13"/>
  <c r="AV123" i="13" s="1"/>
  <c r="AW292" i="7"/>
  <c r="AW309" i="7" s="1"/>
  <c r="AQ309" i="7"/>
  <c r="AY14" i="13"/>
  <c r="AY65" i="13"/>
  <c r="AQ208" i="13"/>
  <c r="AV208" i="13" s="1"/>
  <c r="AQ87" i="13"/>
  <c r="AV87" i="13" s="1"/>
  <c r="N95" i="19"/>
  <c r="AI234" i="13"/>
  <c r="AP215" i="13"/>
  <c r="AP232" i="13" s="1"/>
  <c r="AM232" i="13"/>
  <c r="AW15" i="13"/>
  <c r="AY15" i="13" s="1"/>
  <c r="AX15" i="13"/>
  <c r="AY198" i="13"/>
  <c r="AW16" i="13"/>
  <c r="AY16" i="13" s="1"/>
  <c r="AX16" i="13"/>
  <c r="AF80" i="13"/>
  <c r="AG63" i="13"/>
  <c r="AI63" i="13" s="1"/>
  <c r="AI80" i="13" s="1"/>
  <c r="X28" i="12" s="1"/>
  <c r="Z28" i="12" s="1"/>
  <c r="N8" i="12" s="1"/>
  <c r="K65" i="19" s="1"/>
  <c r="E127" i="18"/>
  <c r="AW237" i="13"/>
  <c r="AX237" i="13"/>
  <c r="AW166" i="13"/>
  <c r="AX166" i="13"/>
  <c r="F109" i="18"/>
  <c r="AM175" i="13"/>
  <c r="AP158" i="13"/>
  <c r="AP175" i="13" s="1"/>
  <c r="AY128" i="13"/>
  <c r="AP252" i="7"/>
  <c r="AR235" i="7"/>
  <c r="AY280" i="13"/>
  <c r="AY130" i="13"/>
  <c r="AY136" i="13"/>
  <c r="AQ127" i="13"/>
  <c r="AV127" i="13" s="1"/>
  <c r="AI15" i="8"/>
  <c r="AK15" i="8" s="1"/>
  <c r="H53" i="19" s="1"/>
  <c r="W53" i="19" s="1"/>
  <c r="AK33" i="8"/>
  <c r="AI213" i="13"/>
  <c r="X34" i="12" s="1"/>
  <c r="AN196" i="13"/>
  <c r="Q27" i="21"/>
  <c r="U27" i="21" s="1"/>
  <c r="Y27" i="21" s="1"/>
  <c r="AG27" i="21" s="1"/>
  <c r="S27" i="21"/>
  <c r="W27" i="21" s="1"/>
  <c r="AA27" i="21" s="1"/>
  <c r="AI27" i="21" s="1"/>
  <c r="R27" i="21"/>
  <c r="P27" i="21"/>
  <c r="AF24" i="9"/>
  <c r="AD24" i="9"/>
  <c r="AW239" i="13"/>
  <c r="AY239" i="13" s="1"/>
  <c r="AX239" i="13"/>
  <c r="AW246" i="13"/>
  <c r="AY246" i="13" s="1"/>
  <c r="AX246" i="13"/>
  <c r="AK36" i="8"/>
  <c r="AG177" i="13"/>
  <c r="AF194" i="13"/>
  <c r="AH177" i="13"/>
  <c r="AH194" i="13" s="1"/>
  <c r="AI42" i="13"/>
  <c r="X26" i="12" s="1"/>
  <c r="AN25" i="13"/>
  <c r="AP25" i="13" s="1"/>
  <c r="AP42" i="13" s="1"/>
  <c r="AF25" i="8"/>
  <c r="AG25" i="8"/>
  <c r="AP25" i="8" s="1"/>
  <c r="AW129" i="13"/>
  <c r="AX129" i="13"/>
  <c r="R33" i="9"/>
  <c r="T33" i="9" s="1"/>
  <c r="O41" i="9"/>
  <c r="AQ228" i="13"/>
  <c r="AV228" i="13" s="1"/>
  <c r="AF23" i="8"/>
  <c r="AI23" i="8"/>
  <c r="AC40" i="8"/>
  <c r="AG23" i="8"/>
  <c r="AW179" i="13"/>
  <c r="AX179" i="13"/>
  <c r="AW76" i="13"/>
  <c r="AY76" i="13" s="1"/>
  <c r="AX76" i="13"/>
  <c r="AS30" i="8"/>
  <c r="BC30" i="8" s="1"/>
  <c r="AR30" i="8"/>
  <c r="D95" i="19"/>
  <c r="V81" i="19"/>
  <c r="AW189" i="13"/>
  <c r="AX189" i="13"/>
  <c r="AW56" i="13"/>
  <c r="AX56" i="13"/>
  <c r="AH6" i="13"/>
  <c r="AH23" i="13" s="1"/>
  <c r="AF23" i="13"/>
  <c r="AG6" i="13"/>
  <c r="AI6" i="13" s="1"/>
  <c r="AI23" i="13" s="1"/>
  <c r="X25" i="12" s="1"/>
  <c r="N114" i="19"/>
  <c r="AM194" i="13"/>
  <c r="AI9" i="8"/>
  <c r="AK9" i="8" s="1"/>
  <c r="H47" i="19" s="1"/>
  <c r="W47" i="19" s="1"/>
  <c r="AK27" i="8"/>
  <c r="V16" i="8"/>
  <c r="X16" i="8" s="1"/>
  <c r="H35" i="19" s="1"/>
  <c r="W35" i="19" s="1"/>
  <c r="X34" i="8"/>
  <c r="AQ69" i="13"/>
  <c r="AV69" i="13" s="1"/>
  <c r="AW279" i="13"/>
  <c r="AY279" i="13" s="1"/>
  <c r="AX279" i="13"/>
  <c r="AW220" i="13"/>
  <c r="AY220" i="13" s="1"/>
  <c r="AX220" i="13"/>
  <c r="E29" i="21"/>
  <c r="G29" i="21" s="1"/>
  <c r="AF30" i="19"/>
  <c r="H5" i="19"/>
  <c r="K19" i="8"/>
  <c r="E14" i="21"/>
  <c r="G14" i="21" s="1"/>
  <c r="AF14" i="19"/>
  <c r="AP138" i="7"/>
  <c r="AR121" i="7"/>
  <c r="AO77" i="13"/>
  <c r="AP77" i="13"/>
  <c r="AM289" i="13"/>
  <c r="AN44" i="13"/>
  <c r="V75" i="19"/>
  <c r="G76" i="19"/>
  <c r="E42" i="21"/>
  <c r="G42" i="21" s="1"/>
  <c r="AF44" i="19"/>
  <c r="E33" i="21"/>
  <c r="G33" i="21" s="1"/>
  <c r="AF34" i="19"/>
  <c r="BU57" i="8"/>
  <c r="AD35" i="21"/>
  <c r="AY91" i="13"/>
  <c r="V10" i="23"/>
  <c r="W10" i="23" s="1"/>
  <c r="X10" i="23" s="1"/>
  <c r="AQ240" i="13"/>
  <c r="AV240" i="13" s="1"/>
  <c r="AP139" i="13"/>
  <c r="AP156" i="13" s="1"/>
  <c r="AM156" i="13"/>
  <c r="AY52" i="13"/>
  <c r="H13" i="21"/>
  <c r="AW151" i="13"/>
  <c r="AY151" i="13" s="1"/>
  <c r="AX151" i="13"/>
  <c r="AY21" i="13"/>
  <c r="AY247" i="13"/>
  <c r="AQ236" i="13"/>
  <c r="AV236" i="13" s="1"/>
  <c r="AL46" i="9"/>
  <c r="AF31" i="8"/>
  <c r="AG31" i="8" s="1"/>
  <c r="AY174" i="13"/>
  <c r="AY143" i="13"/>
  <c r="AS25" i="13"/>
  <c r="AR43" i="7"/>
  <c r="A114" i="18" s="1"/>
  <c r="F114" i="18" s="1"/>
  <c r="AX26" i="7"/>
  <c r="AX43" i="7" s="1"/>
  <c r="AP82" i="13"/>
  <c r="AP99" i="13" s="1"/>
  <c r="AM99" i="13"/>
  <c r="AY60" i="13"/>
  <c r="AY140" i="13"/>
  <c r="AY70" i="13"/>
  <c r="W27" i="19"/>
  <c r="AQ10" i="13"/>
  <c r="AV10" i="13" s="1"/>
  <c r="AP81" i="7"/>
  <c r="AR64" i="7"/>
  <c r="AW122" i="13"/>
  <c r="AY122" i="13" s="1"/>
  <c r="AX122" i="13"/>
  <c r="AW277" i="13"/>
  <c r="AY277" i="13" s="1"/>
  <c r="AX277" i="13"/>
  <c r="Q18" i="19"/>
  <c r="E19" i="18"/>
  <c r="R39" i="12"/>
  <c r="T39" i="12" s="1"/>
  <c r="T25" i="12"/>
  <c r="K5" i="12" s="1"/>
  <c r="AI17" i="8"/>
  <c r="AK17" i="8" s="1"/>
  <c r="H55" i="19" s="1"/>
  <c r="W55" i="19" s="1"/>
  <c r="AK35" i="8"/>
  <c r="AI156" i="13"/>
  <c r="X31" i="12" s="1"/>
  <c r="Z31" i="12" s="1"/>
  <c r="N11" i="12" s="1"/>
  <c r="K68" i="19" s="1"/>
  <c r="AN139" i="13"/>
  <c r="AO243" i="13"/>
  <c r="AP243" i="13"/>
  <c r="AW278" i="13"/>
  <c r="AY278" i="13" s="1"/>
  <c r="AX278" i="13"/>
  <c r="AK251" i="13"/>
  <c r="AM234" i="13"/>
  <c r="AY164" i="13"/>
  <c r="AY12" i="13"/>
  <c r="AG34" i="8"/>
  <c r="AP34" i="8" s="1"/>
  <c r="AF34" i="8"/>
  <c r="E62" i="19"/>
  <c r="AS33" i="8"/>
  <c r="BC33" i="8" s="1"/>
  <c r="AR33" i="8"/>
  <c r="AU33" i="8"/>
  <c r="AW121" i="13"/>
  <c r="AX121" i="13"/>
  <c r="AS82" i="13"/>
  <c r="AR100" i="7"/>
  <c r="A117" i="18" s="1"/>
  <c r="F117" i="18" s="1"/>
  <c r="AX83" i="7"/>
  <c r="AX100" i="7" s="1"/>
  <c r="AQ9" i="13"/>
  <c r="AV9" i="13" s="1"/>
  <c r="AS177" i="13"/>
  <c r="AX178" i="7"/>
  <c r="AX195" i="7" s="1"/>
  <c r="AR195" i="7"/>
  <c r="A121" i="18" s="1"/>
  <c r="F121" i="18" s="1"/>
  <c r="AM61" i="13"/>
  <c r="AP44" i="13"/>
  <c r="AP61" i="13" s="1"/>
  <c r="AQ223" i="13"/>
  <c r="AV223" i="13" s="1"/>
  <c r="AW255" i="13"/>
  <c r="AX255" i="13"/>
  <c r="AM213" i="13"/>
  <c r="AP196" i="13"/>
  <c r="AP213" i="13" s="1"/>
  <c r="AQ73" i="13"/>
  <c r="AV73" i="13" s="1"/>
  <c r="X23" i="8"/>
  <c r="X40" i="8" s="1"/>
  <c r="V40" i="8"/>
  <c r="V5" i="8"/>
  <c r="AS253" i="13"/>
  <c r="AR271" i="7"/>
  <c r="A125" i="18" s="1"/>
  <c r="F125" i="18" s="1"/>
  <c r="AX254" i="7"/>
  <c r="AX271" i="7" s="1"/>
  <c r="G94" i="19"/>
  <c r="BH19" i="8"/>
  <c r="AS158" i="13"/>
  <c r="AR176" i="7"/>
  <c r="A120" i="18" s="1"/>
  <c r="F120" i="18" s="1"/>
  <c r="AX159" i="7"/>
  <c r="AX176" i="7" s="1"/>
  <c r="AW66" i="13"/>
  <c r="AY66" i="13" s="1"/>
  <c r="AX66" i="13"/>
  <c r="AQ253" i="13"/>
  <c r="E24" i="21"/>
  <c r="G24" i="21" s="1"/>
  <c r="AF25" i="19"/>
  <c r="AS196" i="13"/>
  <c r="AX197" i="7"/>
  <c r="AX214" i="7" s="1"/>
  <c r="AR214" i="7"/>
  <c r="A122" i="18" s="1"/>
  <c r="F122" i="18" s="1"/>
  <c r="E109" i="18"/>
  <c r="AK80" i="13"/>
  <c r="AM63" i="13"/>
  <c r="E31" i="21"/>
  <c r="G31" i="21" s="1"/>
  <c r="AF32" i="19"/>
  <c r="AI30" i="8"/>
  <c r="AW22" i="13"/>
  <c r="AX22" i="13"/>
  <c r="AO158" i="13"/>
  <c r="AQ158" i="13" s="1"/>
  <c r="AQ175" i="13" s="1"/>
  <c r="AD32" i="12" s="1"/>
  <c r="AF32" i="12" s="1"/>
  <c r="Q12" i="12" s="1"/>
  <c r="K88" i="19" s="1"/>
  <c r="AV158" i="13"/>
  <c r="AN175" i="13"/>
  <c r="AS44" i="13"/>
  <c r="AR62" i="7"/>
  <c r="A115" i="18" s="1"/>
  <c r="F115" i="18" s="1"/>
  <c r="AX45" i="7"/>
  <c r="AX62" i="7" s="1"/>
  <c r="AW235" i="13"/>
  <c r="AX235" i="13"/>
  <c r="AW238" i="13"/>
  <c r="AX238" i="13"/>
  <c r="AS139" i="13"/>
  <c r="AR157" i="7"/>
  <c r="A119" i="18" s="1"/>
  <c r="F119" i="18" s="1"/>
  <c r="AX140" i="7"/>
  <c r="AX157" i="7" s="1"/>
  <c r="AJ309" i="7"/>
  <c r="AP292" i="7"/>
  <c r="AR35" i="8"/>
  <c r="AS35" i="8" s="1"/>
  <c r="AQ126" i="13"/>
  <c r="AV126" i="13" s="1"/>
  <c r="AM270" i="13"/>
  <c r="AP253" i="13"/>
  <c r="AP270" i="13" s="1"/>
  <c r="AP24" i="7"/>
  <c r="AR7" i="7"/>
  <c r="AF137" i="13"/>
  <c r="AG120" i="13"/>
  <c r="AI120" i="13" s="1"/>
  <c r="AI137" i="13" s="1"/>
  <c r="X30" i="12" s="1"/>
  <c r="Z30" i="12" s="1"/>
  <c r="N10" i="12" s="1"/>
  <c r="K67" i="19" s="1"/>
  <c r="AN120" i="13"/>
  <c r="I8" i="21"/>
  <c r="J8" i="21" s="1"/>
  <c r="AQ125" i="13"/>
  <c r="AV125" i="13" s="1"/>
  <c r="AW241" i="13"/>
  <c r="AY241" i="13" s="1"/>
  <c r="AX241" i="13"/>
  <c r="AI177" i="13" l="1"/>
  <c r="AI194" i="13" s="1"/>
  <c r="X33" i="12" s="1"/>
  <c r="Z33" i="12" s="1"/>
  <c r="N13" i="12" s="1"/>
  <c r="K70" i="19" s="1"/>
  <c r="AI18" i="8"/>
  <c r="AK18" i="8" s="1"/>
  <c r="H56" i="19" s="1"/>
  <c r="W56" i="19" s="1"/>
  <c r="AF56" i="19" s="1"/>
  <c r="K14" i="9"/>
  <c r="T41" i="9"/>
  <c r="BC35" i="8"/>
  <c r="AU35" i="8"/>
  <c r="AV175" i="13"/>
  <c r="V94" i="19"/>
  <c r="G95" i="19"/>
  <c r="X5" i="8"/>
  <c r="V19" i="8"/>
  <c r="AW125" i="13"/>
  <c r="AX125" i="13"/>
  <c r="AY238" i="13"/>
  <c r="AS213" i="13"/>
  <c r="AU196" i="13"/>
  <c r="AS194" i="13"/>
  <c r="AU177" i="13"/>
  <c r="AU82" i="13"/>
  <c r="AS99" i="13"/>
  <c r="AM251" i="13"/>
  <c r="AN156" i="13"/>
  <c r="AO139" i="13"/>
  <c r="AQ139" i="13" s="1"/>
  <c r="AQ156" i="13" s="1"/>
  <c r="AD31" i="12" s="1"/>
  <c r="AF31" i="12" s="1"/>
  <c r="Q11" i="12" s="1"/>
  <c r="K87" i="19" s="1"/>
  <c r="K43" i="19"/>
  <c r="K57" i="19" s="1"/>
  <c r="T8" i="23" s="1"/>
  <c r="X8" i="23" s="1"/>
  <c r="K19" i="12"/>
  <c r="E26" i="21"/>
  <c r="G26" i="21" s="1"/>
  <c r="AF27" i="19"/>
  <c r="AU25" i="13"/>
  <c r="AS42" i="13"/>
  <c r="AL63" i="9"/>
  <c r="S5" i="9"/>
  <c r="AO44" i="13"/>
  <c r="AQ44" i="13" s="1"/>
  <c r="AQ61" i="13" s="1"/>
  <c r="AD27" i="12" s="1"/>
  <c r="AF27" i="12" s="1"/>
  <c r="Q7" i="12" s="1"/>
  <c r="K83" i="19" s="1"/>
  <c r="AV44" i="13"/>
  <c r="AN61" i="13"/>
  <c r="E34" i="21"/>
  <c r="G34" i="21" s="1"/>
  <c r="AF35" i="19"/>
  <c r="AY56" i="13"/>
  <c r="AY179" i="13"/>
  <c r="AF40" i="8"/>
  <c r="AI25" i="8"/>
  <c r="AY237" i="13"/>
  <c r="AN63" i="13"/>
  <c r="AW87" i="13"/>
  <c r="AY87" i="13" s="1"/>
  <c r="AX87" i="13"/>
  <c r="H16" i="21"/>
  <c r="AY226" i="13"/>
  <c r="AW152" i="13"/>
  <c r="AY152" i="13" s="1"/>
  <c r="AX152" i="13"/>
  <c r="AI289" i="13"/>
  <c r="X38" i="12" s="1"/>
  <c r="AN272" i="13"/>
  <c r="AU215" i="13"/>
  <c r="AS232" i="13"/>
  <c r="AK28" i="8"/>
  <c r="AI10" i="8"/>
  <c r="AK10" i="8" s="1"/>
  <c r="H48" i="19" s="1"/>
  <c r="W48" i="19" s="1"/>
  <c r="AN137" i="13"/>
  <c r="AO120" i="13"/>
  <c r="AS175" i="13"/>
  <c r="AU158" i="13"/>
  <c r="AW158" i="13" s="1"/>
  <c r="AW9" i="13"/>
  <c r="AX9" i="13"/>
  <c r="AI34" i="8"/>
  <c r="AS63" i="13"/>
  <c r="AX64" i="7"/>
  <c r="AX81" i="7" s="1"/>
  <c r="AR81" i="7"/>
  <c r="A116" i="18" s="1"/>
  <c r="F116" i="18" s="1"/>
  <c r="AW236" i="13"/>
  <c r="AY236" i="13" s="1"/>
  <c r="AX236" i="13"/>
  <c r="P42" i="21"/>
  <c r="S42" i="21"/>
  <c r="W42" i="21" s="1"/>
  <c r="AA42" i="21" s="1"/>
  <c r="R42" i="21"/>
  <c r="Q42" i="21"/>
  <c r="U42" i="21" s="1"/>
  <c r="Y42" i="21" s="1"/>
  <c r="AQ77" i="13"/>
  <c r="AV77" i="13" s="1"/>
  <c r="I14" i="21"/>
  <c r="J14" i="21" s="1"/>
  <c r="R29" i="21"/>
  <c r="P29" i="21"/>
  <c r="S29" i="21"/>
  <c r="W29" i="21" s="1"/>
  <c r="AA29" i="21" s="1"/>
  <c r="Q29" i="21"/>
  <c r="U29" i="21" s="1"/>
  <c r="Y29" i="21" s="1"/>
  <c r="AG29" i="21" s="1"/>
  <c r="AU30" i="8"/>
  <c r="AG40" i="8"/>
  <c r="AP23" i="8"/>
  <c r="AW228" i="13"/>
  <c r="AY228" i="13" s="1"/>
  <c r="AX228" i="13"/>
  <c r="AN177" i="13"/>
  <c r="E51" i="21"/>
  <c r="G51" i="21" s="1"/>
  <c r="AF53" i="19"/>
  <c r="AW208" i="13"/>
  <c r="AY208" i="13" s="1"/>
  <c r="AX208" i="13"/>
  <c r="AS289" i="13"/>
  <c r="AU272" i="13"/>
  <c r="AW17" i="13"/>
  <c r="AY17" i="13" s="1"/>
  <c r="AX17" i="13"/>
  <c r="AN99" i="13"/>
  <c r="AO82" i="13"/>
  <c r="AQ82" i="13" s="1"/>
  <c r="AQ99" i="13" s="1"/>
  <c r="AD29" i="12" s="1"/>
  <c r="AF29" i="12" s="1"/>
  <c r="Q9" i="12" s="1"/>
  <c r="K85" i="19" s="1"/>
  <c r="AN232" i="13"/>
  <c r="AO215" i="13"/>
  <c r="AQ215" i="13" s="1"/>
  <c r="AQ232" i="13" s="1"/>
  <c r="AD35" i="12" s="1"/>
  <c r="AF35" i="12" s="1"/>
  <c r="Q15" i="12" s="1"/>
  <c r="K91" i="19" s="1"/>
  <c r="AV215" i="13"/>
  <c r="AS28" i="8"/>
  <c r="BC28" i="8" s="1"/>
  <c r="AR28" i="8"/>
  <c r="AK30" i="8"/>
  <c r="AI12" i="8"/>
  <c r="AK12" i="8" s="1"/>
  <c r="H50" i="19" s="1"/>
  <c r="W50" i="19" s="1"/>
  <c r="AS61" i="13"/>
  <c r="AU44" i="13"/>
  <c r="P31" i="21"/>
  <c r="R31" i="21"/>
  <c r="S31" i="21"/>
  <c r="W31" i="21" s="1"/>
  <c r="AA31" i="21" s="1"/>
  <c r="Q31" i="21"/>
  <c r="U31" i="21" s="1"/>
  <c r="Y31" i="21" s="1"/>
  <c r="H8" i="21"/>
  <c r="AS6" i="13"/>
  <c r="AS23" i="13" s="1"/>
  <c r="AR24" i="7"/>
  <c r="A113" i="18" s="1"/>
  <c r="F113" i="18" s="1"/>
  <c r="AX7" i="7"/>
  <c r="AX24" i="7" s="1"/>
  <c r="AW126" i="13"/>
  <c r="AX126" i="13"/>
  <c r="AR292" i="7"/>
  <c r="AP309" i="7"/>
  <c r="AU139" i="13"/>
  <c r="AS156" i="13"/>
  <c r="AY235" i="13"/>
  <c r="AY22" i="13"/>
  <c r="AP63" i="13"/>
  <c r="AP80" i="13" s="1"/>
  <c r="AM80" i="13"/>
  <c r="R24" i="21"/>
  <c r="P24" i="21"/>
  <c r="S24" i="21"/>
  <c r="W24" i="21" s="1"/>
  <c r="AA24" i="21" s="1"/>
  <c r="Q24" i="21"/>
  <c r="U24" i="21" s="1"/>
  <c r="Y24" i="21" s="1"/>
  <c r="AS270" i="13"/>
  <c r="AU253" i="13"/>
  <c r="AW73" i="13"/>
  <c r="AY73" i="13" s="1"/>
  <c r="AX73" i="13"/>
  <c r="AY255" i="13"/>
  <c r="AY121" i="13"/>
  <c r="AQ243" i="13"/>
  <c r="AV243" i="13" s="1"/>
  <c r="AW240" i="13"/>
  <c r="AX240" i="13"/>
  <c r="AS120" i="13"/>
  <c r="AX121" i="7"/>
  <c r="AX138" i="7" s="1"/>
  <c r="AR138" i="7"/>
  <c r="A118" i="18" s="1"/>
  <c r="F118" i="18" s="1"/>
  <c r="AW69" i="13"/>
  <c r="AY69" i="13" s="1"/>
  <c r="AX69" i="13"/>
  <c r="AN6" i="13"/>
  <c r="AY189" i="13"/>
  <c r="AY129" i="13"/>
  <c r="AV25" i="13"/>
  <c r="AN42" i="13"/>
  <c r="AO25" i="13"/>
  <c r="AQ25" i="13" s="1"/>
  <c r="AQ42" i="13" s="1"/>
  <c r="AD26" i="12" s="1"/>
  <c r="AF26" i="12" s="1"/>
  <c r="Q6" i="12" s="1"/>
  <c r="K82" i="19" s="1"/>
  <c r="AG24" i="9"/>
  <c r="T27" i="21"/>
  <c r="AV196" i="13"/>
  <c r="AN213" i="13"/>
  <c r="AO196" i="13"/>
  <c r="AQ196" i="13" s="1"/>
  <c r="AQ213" i="13" s="1"/>
  <c r="AD34" i="12" s="1"/>
  <c r="AF34" i="12" s="1"/>
  <c r="Q14" i="12" s="1"/>
  <c r="K90" i="19" s="1"/>
  <c r="AW127" i="13"/>
  <c r="AY127" i="13" s="1"/>
  <c r="AX127" i="13"/>
  <c r="AS234" i="13"/>
  <c r="AR252" i="7"/>
  <c r="A124" i="18" s="1"/>
  <c r="F124" i="18" s="1"/>
  <c r="AX235" i="7"/>
  <c r="AX252" i="7" s="1"/>
  <c r="AY166" i="13"/>
  <c r="AI251" i="13"/>
  <c r="X36" i="12" s="1"/>
  <c r="Z36" i="12" s="1"/>
  <c r="N16" i="12" s="1"/>
  <c r="K73" i="19" s="1"/>
  <c r="AN234" i="13"/>
  <c r="AW123" i="13"/>
  <c r="AY123" i="13" s="1"/>
  <c r="AX123" i="13"/>
  <c r="W33" i="19"/>
  <c r="E38" i="19"/>
  <c r="L6" i="23" s="1"/>
  <c r="P6" i="23" s="1"/>
  <c r="AY230" i="13"/>
  <c r="E25" i="21"/>
  <c r="G25" i="21" s="1"/>
  <c r="AF26" i="19"/>
  <c r="Z29" i="12"/>
  <c r="N9" i="12" s="1"/>
  <c r="K66" i="19" s="1"/>
  <c r="AR27" i="8"/>
  <c r="AS27" i="8" s="1"/>
  <c r="AM137" i="13"/>
  <c r="AP120" i="13"/>
  <c r="AP137" i="13" s="1"/>
  <c r="AI11" i="8"/>
  <c r="AK11" i="8" s="1"/>
  <c r="H49" i="19" s="1"/>
  <c r="W49" i="19" s="1"/>
  <c r="AK29" i="8"/>
  <c r="AK26" i="8"/>
  <c r="AI8" i="8"/>
  <c r="AK8" i="8" s="1"/>
  <c r="H46" i="19" s="1"/>
  <c r="W46" i="19" s="1"/>
  <c r="AQ270" i="13"/>
  <c r="AD37" i="12" s="1"/>
  <c r="AF37" i="12" s="1"/>
  <c r="Q17" i="12" s="1"/>
  <c r="K93" i="19" s="1"/>
  <c r="AV253" i="13"/>
  <c r="AW223" i="13"/>
  <c r="AX223" i="13"/>
  <c r="AW33" i="8"/>
  <c r="AV15" i="8"/>
  <c r="AX15" i="8" s="1"/>
  <c r="H72" i="19" s="1"/>
  <c r="AR34" i="8"/>
  <c r="AS34" i="8" s="1"/>
  <c r="E53" i="21"/>
  <c r="G53" i="21" s="1"/>
  <c r="AF55" i="19"/>
  <c r="W18" i="19"/>
  <c r="AF18" i="19" s="1"/>
  <c r="Q19" i="19"/>
  <c r="D10" i="23" s="1"/>
  <c r="AW10" i="13"/>
  <c r="AY10" i="13" s="1"/>
  <c r="AX10" i="13"/>
  <c r="AP31" i="8"/>
  <c r="AI31" i="8"/>
  <c r="AI40" i="8" s="1"/>
  <c r="BS18" i="8"/>
  <c r="BW57" i="8"/>
  <c r="BW61" i="8" s="1"/>
  <c r="BU61" i="8"/>
  <c r="S33" i="21"/>
  <c r="W33" i="21" s="1"/>
  <c r="AA33" i="21" s="1"/>
  <c r="R33" i="21"/>
  <c r="Q33" i="21"/>
  <c r="U33" i="21" s="1"/>
  <c r="Y33" i="21" s="1"/>
  <c r="P33" i="21"/>
  <c r="AE75" i="19"/>
  <c r="AE76" i="19" s="1"/>
  <c r="V76" i="19"/>
  <c r="H19" i="19"/>
  <c r="D7" i="23" s="1"/>
  <c r="H7" i="23" s="1"/>
  <c r="W5" i="19"/>
  <c r="E45" i="21"/>
  <c r="G45" i="21" s="1"/>
  <c r="AF47" i="19"/>
  <c r="X39" i="12"/>
  <c r="Z39" i="12" s="1"/>
  <c r="Z25" i="12"/>
  <c r="N5" i="12" s="1"/>
  <c r="E6" i="25"/>
  <c r="E19" i="25" s="1"/>
  <c r="V95" i="19"/>
  <c r="AE81" i="19"/>
  <c r="BF30" i="8"/>
  <c r="BP30" i="8" s="1"/>
  <c r="BE30" i="8"/>
  <c r="AI5" i="8"/>
  <c r="AK23" i="8"/>
  <c r="U33" i="9"/>
  <c r="R41" i="9"/>
  <c r="AR25" i="8"/>
  <c r="AS25" i="8" s="1"/>
  <c r="Z26" i="12"/>
  <c r="N6" i="12" s="1"/>
  <c r="K63" i="19" s="1"/>
  <c r="AR24" i="8"/>
  <c r="AS24" i="8" s="1"/>
  <c r="Q5" i="9"/>
  <c r="V27" i="21"/>
  <c r="AD27" i="21" s="1"/>
  <c r="Z34" i="12"/>
  <c r="N14" i="12" s="1"/>
  <c r="K71" i="19" s="1"/>
  <c r="AR32" i="8"/>
  <c r="AS32" i="8" s="1"/>
  <c r="S30" i="21"/>
  <c r="W30" i="21" s="1"/>
  <c r="AA30" i="21" s="1"/>
  <c r="AI30" i="21" s="1"/>
  <c r="Q30" i="21"/>
  <c r="U30" i="21" s="1"/>
  <c r="Y30" i="21" s="1"/>
  <c r="AG30" i="21" s="1"/>
  <c r="R30" i="21"/>
  <c r="P30" i="21"/>
  <c r="AR29" i="8"/>
  <c r="AS29" i="8" s="1"/>
  <c r="AR26" i="8"/>
  <c r="AS26" i="8" s="1"/>
  <c r="H14" i="21" l="1"/>
  <c r="AJ27" i="21"/>
  <c r="H27" i="21" s="1"/>
  <c r="I27" i="21" s="1"/>
  <c r="J27" i="21" s="1"/>
  <c r="AB27" i="21"/>
  <c r="BC26" i="8"/>
  <c r="AU26" i="8"/>
  <c r="BC25" i="8"/>
  <c r="AU25" i="8"/>
  <c r="BC29" i="8"/>
  <c r="AU29" i="8"/>
  <c r="BC34" i="8"/>
  <c r="AU34" i="8"/>
  <c r="E5" i="21"/>
  <c r="W19" i="19"/>
  <c r="AF5" i="19"/>
  <c r="AF19" i="19" s="1"/>
  <c r="AR31" i="8"/>
  <c r="AS31" i="8" s="1"/>
  <c r="E44" i="21"/>
  <c r="G44" i="21" s="1"/>
  <c r="AF46" i="19"/>
  <c r="AN251" i="13"/>
  <c r="AO234" i="13"/>
  <c r="AY240" i="13"/>
  <c r="AU156" i="13"/>
  <c r="AY126" i="13"/>
  <c r="AU28" i="8"/>
  <c r="Q51" i="21"/>
  <c r="U51" i="21" s="1"/>
  <c r="Y51" i="21" s="1"/>
  <c r="S51" i="21"/>
  <c r="W51" i="21" s="1"/>
  <c r="AA51" i="21" s="1"/>
  <c r="R51" i="21"/>
  <c r="P51" i="21"/>
  <c r="AR23" i="8"/>
  <c r="AP40" i="8"/>
  <c r="AU63" i="13"/>
  <c r="AS80" i="13"/>
  <c r="E46" i="21"/>
  <c r="G46" i="21" s="1"/>
  <c r="I46" i="21" s="1"/>
  <c r="J46" i="21" s="1"/>
  <c r="AF48" i="19"/>
  <c r="AO272" i="13"/>
  <c r="AQ272" i="13" s="1"/>
  <c r="AQ289" i="13" s="1"/>
  <c r="AD38" i="12" s="1"/>
  <c r="AF38" i="12" s="1"/>
  <c r="Q18" i="12" s="1"/>
  <c r="K94" i="19" s="1"/>
  <c r="AN289" i="13"/>
  <c r="AV272" i="13"/>
  <c r="AP272" i="13"/>
  <c r="AP289" i="13" s="1"/>
  <c r="AN80" i="13"/>
  <c r="AO63" i="13"/>
  <c r="AQ63" i="13" s="1"/>
  <c r="AQ80" i="13" s="1"/>
  <c r="AD28" i="12" s="1"/>
  <c r="AF28" i="12" s="1"/>
  <c r="Q8" i="12" s="1"/>
  <c r="K84" i="19" s="1"/>
  <c r="P26" i="21"/>
  <c r="R26" i="21"/>
  <c r="S26" i="21"/>
  <c r="W26" i="21" s="1"/>
  <c r="AA26" i="21" s="1"/>
  <c r="AI26" i="21" s="1"/>
  <c r="Q26" i="21"/>
  <c r="U26" i="21" s="1"/>
  <c r="Y26" i="21" s="1"/>
  <c r="AG26" i="21" s="1"/>
  <c r="AU194" i="13"/>
  <c r="AY125" i="13"/>
  <c r="D5" i="20"/>
  <c r="AE94" i="19"/>
  <c r="AE95" i="19" s="1"/>
  <c r="AV17" i="8"/>
  <c r="AX17" i="8" s="1"/>
  <c r="H74" i="19" s="1"/>
  <c r="AW35" i="8"/>
  <c r="BC24" i="8"/>
  <c r="AU24" i="8"/>
  <c r="K62" i="19"/>
  <c r="N19" i="12"/>
  <c r="AB33" i="21"/>
  <c r="AG33" i="21" s="1"/>
  <c r="T33" i="21"/>
  <c r="AK5" i="8"/>
  <c r="T30" i="21"/>
  <c r="BC32" i="8"/>
  <c r="AU32" i="8"/>
  <c r="E81" i="19"/>
  <c r="Z33" i="9"/>
  <c r="X33" i="9"/>
  <c r="U41" i="9"/>
  <c r="BH30" i="8"/>
  <c r="AY223" i="13"/>
  <c r="E32" i="21"/>
  <c r="G32" i="21" s="1"/>
  <c r="AF33" i="19"/>
  <c r="AU234" i="13"/>
  <c r="AS251" i="13"/>
  <c r="AP6" i="13"/>
  <c r="AP23" i="13" s="1"/>
  <c r="AN23" i="13"/>
  <c r="AO6" i="13"/>
  <c r="AW243" i="13"/>
  <c r="AX243" i="13"/>
  <c r="V24" i="21"/>
  <c r="AD24" i="21" s="1"/>
  <c r="AI24" i="21" s="1"/>
  <c r="V31" i="21"/>
  <c r="AD31" i="21" s="1"/>
  <c r="AI31" i="21" s="1"/>
  <c r="AO177" i="13"/>
  <c r="AN194" i="13"/>
  <c r="AP177" i="13"/>
  <c r="AP194" i="13" s="1"/>
  <c r="T29" i="21"/>
  <c r="AB29" i="21" s="1"/>
  <c r="V42" i="21"/>
  <c r="AD42" i="21"/>
  <c r="AK34" i="8"/>
  <c r="AI16" i="8"/>
  <c r="AK16" i="8" s="1"/>
  <c r="H54" i="19" s="1"/>
  <c r="W54" i="19" s="1"/>
  <c r="Z38" i="12"/>
  <c r="N18" i="12" s="1"/>
  <c r="K75" i="19" s="1"/>
  <c r="AR37" i="8"/>
  <c r="AS37" i="8" s="1"/>
  <c r="AR36" i="8"/>
  <c r="AS36" i="8" s="1"/>
  <c r="AR39" i="8"/>
  <c r="AS39" i="8" s="1"/>
  <c r="AR38" i="8"/>
  <c r="AS38" i="8" s="1"/>
  <c r="AV61" i="13"/>
  <c r="AW44" i="13"/>
  <c r="AV139" i="13"/>
  <c r="AX139" i="13" s="1"/>
  <c r="AX156" i="13" s="1"/>
  <c r="BE35" i="8"/>
  <c r="BF35" i="8"/>
  <c r="BP35" i="8" s="1"/>
  <c r="V30" i="21"/>
  <c r="AD30" i="21" s="1"/>
  <c r="S45" i="21"/>
  <c r="W45" i="21" s="1"/>
  <c r="AA45" i="21" s="1"/>
  <c r="AI45" i="21" s="1"/>
  <c r="R45" i="21"/>
  <c r="Q45" i="21"/>
  <c r="U45" i="21" s="1"/>
  <c r="Y45" i="21" s="1"/>
  <c r="AG45" i="21" s="1"/>
  <c r="P45" i="21"/>
  <c r="V33" i="21"/>
  <c r="AD33" i="21" s="1"/>
  <c r="AI33" i="21" s="1"/>
  <c r="BU18" i="8"/>
  <c r="BS19" i="8"/>
  <c r="S53" i="21"/>
  <c r="W53" i="21" s="1"/>
  <c r="AA53" i="21" s="1"/>
  <c r="Q53" i="21"/>
  <c r="U53" i="21" s="1"/>
  <c r="Y53" i="21" s="1"/>
  <c r="R53" i="21"/>
  <c r="P53" i="21"/>
  <c r="AV270" i="13"/>
  <c r="AW253" i="13"/>
  <c r="S25" i="21"/>
  <c r="W25" i="21" s="1"/>
  <c r="AA25" i="21" s="1"/>
  <c r="Q25" i="21"/>
  <c r="U25" i="21" s="1"/>
  <c r="Y25" i="21" s="1"/>
  <c r="AG25" i="21" s="1"/>
  <c r="R25" i="21"/>
  <c r="P25" i="21"/>
  <c r="AV213" i="13"/>
  <c r="AW196" i="13"/>
  <c r="AV42" i="13"/>
  <c r="AW25" i="13"/>
  <c r="AS137" i="13"/>
  <c r="AU120" i="13"/>
  <c r="AR309" i="7"/>
  <c r="AX292" i="7"/>
  <c r="AX309" i="7" s="1"/>
  <c r="F127" i="18"/>
  <c r="T31" i="21"/>
  <c r="AB31" i="21" s="1"/>
  <c r="AG31" i="21" s="1"/>
  <c r="E48" i="21"/>
  <c r="G48" i="21" s="1"/>
  <c r="AF50" i="19"/>
  <c r="AV82" i="13"/>
  <c r="AW30" i="8"/>
  <c r="AV12" i="8"/>
  <c r="AX12" i="8" s="1"/>
  <c r="H69" i="19" s="1"/>
  <c r="AW77" i="13"/>
  <c r="AX77" i="13"/>
  <c r="AI42" i="21"/>
  <c r="AY9" i="13"/>
  <c r="AO137" i="13"/>
  <c r="AQ120" i="13"/>
  <c r="AI7" i="8"/>
  <c r="AK7" i="8" s="1"/>
  <c r="H45" i="19" s="1"/>
  <c r="W45" i="19" s="1"/>
  <c r="AK25" i="8"/>
  <c r="AK40" i="8" s="1"/>
  <c r="AU42" i="13"/>
  <c r="AX25" i="13"/>
  <c r="AX42" i="13" s="1"/>
  <c r="H24" i="19"/>
  <c r="X19" i="8"/>
  <c r="AI13" i="8"/>
  <c r="AK13" i="8" s="1"/>
  <c r="H51" i="19" s="1"/>
  <c r="W51" i="19" s="1"/>
  <c r="AK31" i="8"/>
  <c r="F10" i="23"/>
  <c r="G10" i="23" s="1"/>
  <c r="H10" i="23" s="1"/>
  <c r="H12" i="23" s="1"/>
  <c r="H17" i="23" s="1"/>
  <c r="E47" i="21"/>
  <c r="G47" i="21" s="1"/>
  <c r="AF49" i="19"/>
  <c r="BC27" i="8"/>
  <c r="AU27" i="8"/>
  <c r="AL24" i="9"/>
  <c r="AJ24" i="9"/>
  <c r="AU270" i="13"/>
  <c r="AX253" i="13"/>
  <c r="AX270" i="13" s="1"/>
  <c r="AB24" i="21"/>
  <c r="AG24" i="21" s="1"/>
  <c r="T24" i="21"/>
  <c r="AX44" i="13"/>
  <c r="AX61" i="13" s="1"/>
  <c r="AU61" i="13"/>
  <c r="AV232" i="13"/>
  <c r="AW215" i="13"/>
  <c r="AX272" i="13"/>
  <c r="AX289" i="13" s="1"/>
  <c r="AU289" i="13"/>
  <c r="V29" i="21"/>
  <c r="T42" i="21"/>
  <c r="AB42" i="21" s="1"/>
  <c r="AG42" i="21" s="1"/>
  <c r="AJ42" i="21" s="1"/>
  <c r="H42" i="21" s="1"/>
  <c r="I42" i="21" s="1"/>
  <c r="J42" i="21" s="1"/>
  <c r="BE33" i="8"/>
  <c r="BF33" i="8" s="1"/>
  <c r="AX158" i="13"/>
  <c r="AX175" i="13" s="1"/>
  <c r="AU175" i="13"/>
  <c r="AX215" i="13"/>
  <c r="AX232" i="13" s="1"/>
  <c r="AU232" i="13"/>
  <c r="P34" i="21"/>
  <c r="S34" i="21"/>
  <c r="W34" i="21" s="1"/>
  <c r="AA34" i="21" s="1"/>
  <c r="R34" i="21"/>
  <c r="Q34" i="21"/>
  <c r="U34" i="21" s="1"/>
  <c r="Y34" i="21" s="1"/>
  <c r="AG34" i="21" s="1"/>
  <c r="D100" i="19"/>
  <c r="S19" i="9"/>
  <c r="AP234" i="13"/>
  <c r="AP251" i="13" s="1"/>
  <c r="AX82" i="13"/>
  <c r="AX99" i="13" s="1"/>
  <c r="AU99" i="13"/>
  <c r="AU213" i="13"/>
  <c r="AX196" i="13"/>
  <c r="AX213" i="13" s="1"/>
  <c r="E52" i="19"/>
  <c r="K19" i="9"/>
  <c r="AJ31" i="21" l="1"/>
  <c r="H31" i="21" s="1"/>
  <c r="I31" i="21" s="1"/>
  <c r="J31" i="21" s="1"/>
  <c r="AJ30" i="21"/>
  <c r="H30" i="21" s="1"/>
  <c r="I30" i="21" s="1"/>
  <c r="J30" i="21" s="1"/>
  <c r="AJ24" i="21"/>
  <c r="H24" i="21" s="1"/>
  <c r="I24" i="21" s="1"/>
  <c r="J24" i="21" s="1"/>
  <c r="BC31" i="8"/>
  <c r="AU31" i="8"/>
  <c r="V34" i="21"/>
  <c r="AD34" i="21" s="1"/>
  <c r="AI34" i="21" s="1"/>
  <c r="W52" i="19"/>
  <c r="E57" i="19"/>
  <c r="T6" i="23" s="1"/>
  <c r="X6" i="23" s="1"/>
  <c r="T34" i="21"/>
  <c r="BP33" i="8"/>
  <c r="BH33" i="8"/>
  <c r="H38" i="19"/>
  <c r="L7" i="23" s="1"/>
  <c r="P7" i="23" s="1"/>
  <c r="P12" i="23" s="1"/>
  <c r="P15" i="23" s="1"/>
  <c r="W24" i="19"/>
  <c r="E43" i="21"/>
  <c r="G43" i="21" s="1"/>
  <c r="AF45" i="19"/>
  <c r="AU137" i="13"/>
  <c r="AY196" i="13"/>
  <c r="AY213" i="13" s="1"/>
  <c r="AJ34" i="12" s="1"/>
  <c r="AL34" i="12" s="1"/>
  <c r="T14" i="12" s="1"/>
  <c r="K109" i="19" s="1"/>
  <c r="AD25" i="21"/>
  <c r="AI25" i="21" s="1"/>
  <c r="V25" i="21"/>
  <c r="G113" i="19"/>
  <c r="BU19" i="8"/>
  <c r="BC38" i="8"/>
  <c r="AU38" i="8"/>
  <c r="AW38" i="8" s="1"/>
  <c r="AU251" i="13"/>
  <c r="BI12" i="8"/>
  <c r="BK12" i="8" s="1"/>
  <c r="H88" i="19" s="1"/>
  <c r="BJ30" i="8"/>
  <c r="AB30" i="21"/>
  <c r="H43" i="19"/>
  <c r="AK19" i="8"/>
  <c r="AJ33" i="21"/>
  <c r="H33" i="21" s="1"/>
  <c r="I33" i="21" s="1"/>
  <c r="J33" i="21" s="1"/>
  <c r="BF24" i="8"/>
  <c r="BP24" i="8" s="1"/>
  <c r="BE24" i="8"/>
  <c r="D10" i="20"/>
  <c r="T26" i="21"/>
  <c r="AB26" i="21" s="1"/>
  <c r="AR40" i="8"/>
  <c r="AV7" i="8"/>
  <c r="AX7" i="8" s="1"/>
  <c r="H64" i="19" s="1"/>
  <c r="AW25" i="8"/>
  <c r="AY215" i="13"/>
  <c r="AY232" i="13" s="1"/>
  <c r="AJ35" i="12" s="1"/>
  <c r="AL35" i="12" s="1"/>
  <c r="T15" i="12" s="1"/>
  <c r="K110" i="19" s="1"/>
  <c r="T5" i="9"/>
  <c r="P47" i="21"/>
  <c r="S47" i="21"/>
  <c r="W47" i="21" s="1"/>
  <c r="AA47" i="21" s="1"/>
  <c r="R47" i="21"/>
  <c r="Q47" i="21"/>
  <c r="U47" i="21" s="1"/>
  <c r="Y47" i="21" s="1"/>
  <c r="AG47" i="21" s="1"/>
  <c r="AV156" i="13"/>
  <c r="AW139" i="13"/>
  <c r="AY139" i="13" s="1"/>
  <c r="AY156" i="13" s="1"/>
  <c r="AJ31" i="12" s="1"/>
  <c r="AL31" i="12" s="1"/>
  <c r="T11" i="12" s="1"/>
  <c r="K106" i="19" s="1"/>
  <c r="BC39" i="8"/>
  <c r="AU39" i="8"/>
  <c r="AW39" i="8" s="1"/>
  <c r="E52" i="21"/>
  <c r="G52" i="21" s="1"/>
  <c r="AF54" i="19"/>
  <c r="AI19" i="8"/>
  <c r="AV289" i="13"/>
  <c r="AW272" i="13"/>
  <c r="AY272" i="13" s="1"/>
  <c r="AY289" i="13" s="1"/>
  <c r="AJ38" i="12" s="1"/>
  <c r="AL38" i="12" s="1"/>
  <c r="T18" i="12" s="1"/>
  <c r="K113" i="19" s="1"/>
  <c r="T51" i="21"/>
  <c r="AQ234" i="13"/>
  <c r="AV11" i="8"/>
  <c r="AX11" i="8" s="1"/>
  <c r="H68" i="19" s="1"/>
  <c r="AW29" i="8"/>
  <c r="BE25" i="8"/>
  <c r="BF25" i="8" s="1"/>
  <c r="E49" i="21"/>
  <c r="G49" i="21" s="1"/>
  <c r="AF51" i="19"/>
  <c r="AQ137" i="13"/>
  <c r="AD30" i="12" s="1"/>
  <c r="AV120" i="13"/>
  <c r="AV99" i="13"/>
  <c r="AW82" i="13"/>
  <c r="AY82" i="13" s="1"/>
  <c r="AY99" i="13" s="1"/>
  <c r="AJ29" i="12" s="1"/>
  <c r="AL29" i="12" s="1"/>
  <c r="T9" i="12" s="1"/>
  <c r="K104" i="19" s="1"/>
  <c r="D114" i="19"/>
  <c r="V100" i="19"/>
  <c r="AD29" i="21"/>
  <c r="AI29" i="21" s="1"/>
  <c r="AJ29" i="21" s="1"/>
  <c r="H29" i="21" s="1"/>
  <c r="I29" i="21" s="1"/>
  <c r="J29" i="21" s="1"/>
  <c r="AV9" i="8"/>
  <c r="AX9" i="8" s="1"/>
  <c r="H66" i="19" s="1"/>
  <c r="AW27" i="8"/>
  <c r="AY77" i="13"/>
  <c r="Q48" i="21"/>
  <c r="U48" i="21" s="1"/>
  <c r="Y48" i="21" s="1"/>
  <c r="P48" i="21"/>
  <c r="S48" i="21"/>
  <c r="W48" i="21" s="1"/>
  <c r="AA48" i="21" s="1"/>
  <c r="R48" i="21"/>
  <c r="AY25" i="13"/>
  <c r="AY42" i="13" s="1"/>
  <c r="AJ26" i="12" s="1"/>
  <c r="AL26" i="12" s="1"/>
  <c r="T6" i="12" s="1"/>
  <c r="K101" i="19" s="1"/>
  <c r="T53" i="21"/>
  <c r="AB53" i="21" s="1"/>
  <c r="AG53" i="21" s="1"/>
  <c r="V45" i="21"/>
  <c r="AD45" i="21" s="1"/>
  <c r="BH35" i="8"/>
  <c r="AY44" i="13"/>
  <c r="AY61" i="13" s="1"/>
  <c r="AJ27" i="12" s="1"/>
  <c r="AL27" i="12" s="1"/>
  <c r="T7" i="12" s="1"/>
  <c r="K102" i="19" s="1"/>
  <c r="BC36" i="8"/>
  <c r="AU36" i="8"/>
  <c r="AQ177" i="13"/>
  <c r="AY243" i="13"/>
  <c r="R32" i="21"/>
  <c r="Q32" i="21"/>
  <c r="U32" i="21" s="1"/>
  <c r="Y32" i="21" s="1"/>
  <c r="AG32" i="21" s="1"/>
  <c r="P32" i="21"/>
  <c r="S32" i="21"/>
  <c r="W32" i="21" s="1"/>
  <c r="AA32" i="21" s="1"/>
  <c r="AI32" i="21" s="1"/>
  <c r="AA33" i="9"/>
  <c r="X41" i="9"/>
  <c r="AW32" i="8"/>
  <c r="AV14" i="8"/>
  <c r="AX14" i="8" s="1"/>
  <c r="H71" i="19" s="1"/>
  <c r="K76" i="19"/>
  <c r="AB8" i="23" s="1"/>
  <c r="AS23" i="8"/>
  <c r="V51" i="21"/>
  <c r="AD51" i="21"/>
  <c r="AI51" i="21" s="1"/>
  <c r="AW28" i="8"/>
  <c r="AV10" i="8"/>
  <c r="AX10" i="8" s="1"/>
  <c r="H67" i="19" s="1"/>
  <c r="R44" i="21"/>
  <c r="Q44" i="21"/>
  <c r="U44" i="21" s="1"/>
  <c r="Y44" i="21" s="1"/>
  <c r="P44" i="21"/>
  <c r="S44" i="21"/>
  <c r="W44" i="21" s="1"/>
  <c r="AA44" i="21" s="1"/>
  <c r="AI44" i="21" s="1"/>
  <c r="E18" i="21"/>
  <c r="G5" i="21"/>
  <c r="BE29" i="8"/>
  <c r="BF29" i="8" s="1"/>
  <c r="AW26" i="8"/>
  <c r="AV8" i="8"/>
  <c r="AX8" i="8" s="1"/>
  <c r="H65" i="19" s="1"/>
  <c r="BE27" i="8"/>
  <c r="BF27" i="8"/>
  <c r="BP27" i="8" s="1"/>
  <c r="T25" i="21"/>
  <c r="AB25" i="21" s="1"/>
  <c r="AY253" i="13"/>
  <c r="AY270" i="13" s="1"/>
  <c r="AJ37" i="12" s="1"/>
  <c r="AL37" i="12" s="1"/>
  <c r="T17" i="12" s="1"/>
  <c r="K112" i="19" s="1"/>
  <c r="V53" i="21"/>
  <c r="AD53" i="21" s="1"/>
  <c r="AI53" i="21" s="1"/>
  <c r="T45" i="21"/>
  <c r="AJ45" i="21" s="1"/>
  <c r="H45" i="21" s="1"/>
  <c r="I45" i="21" s="1"/>
  <c r="J45" i="21" s="1"/>
  <c r="BC37" i="8"/>
  <c r="AU37" i="8"/>
  <c r="AW37" i="8" s="1"/>
  <c r="AQ6" i="13"/>
  <c r="N14" i="9"/>
  <c r="Z41" i="9"/>
  <c r="BE32" i="8"/>
  <c r="BF32" i="8" s="1"/>
  <c r="AW24" i="8"/>
  <c r="AV6" i="8"/>
  <c r="AX6" i="8" s="1"/>
  <c r="H63" i="19" s="1"/>
  <c r="V26" i="21"/>
  <c r="AD26" i="21" s="1"/>
  <c r="AV63" i="13"/>
  <c r="AU80" i="13"/>
  <c r="AX63" i="13"/>
  <c r="AX80" i="13" s="1"/>
  <c r="AW34" i="8"/>
  <c r="AV16" i="8"/>
  <c r="AX16" i="8" s="1"/>
  <c r="H73" i="19" s="1"/>
  <c r="AY158" i="13"/>
  <c r="AY175" i="13" s="1"/>
  <c r="AJ32" i="12" s="1"/>
  <c r="BE26" i="8"/>
  <c r="BF26" i="8" s="1"/>
  <c r="BP32" i="8" l="1"/>
  <c r="BH32" i="8"/>
  <c r="AJ34" i="21"/>
  <c r="H34" i="21" s="1"/>
  <c r="I34" i="21" s="1"/>
  <c r="J34" i="21" s="1"/>
  <c r="AJ53" i="21"/>
  <c r="H53" i="21" s="1"/>
  <c r="I53" i="21" s="1"/>
  <c r="J53" i="21" s="1"/>
  <c r="BP26" i="8"/>
  <c r="BH26" i="8"/>
  <c r="BP25" i="8"/>
  <c r="BH25" i="8"/>
  <c r="BP29" i="8"/>
  <c r="BH29" i="8"/>
  <c r="AL32" i="12"/>
  <c r="T12" i="12" s="1"/>
  <c r="K107" i="19" s="1"/>
  <c r="BR30" i="8"/>
  <c r="BS30" i="8" s="1"/>
  <c r="BU30" i="8" s="1"/>
  <c r="BR27" i="8"/>
  <c r="BS27" i="8"/>
  <c r="BU27" i="8" s="1"/>
  <c r="AV80" i="13"/>
  <c r="AW63" i="13"/>
  <c r="AY63" i="13" s="1"/>
  <c r="AY80" i="13" s="1"/>
  <c r="AJ28" i="12" s="1"/>
  <c r="AL28" i="12" s="1"/>
  <c r="T8" i="12" s="1"/>
  <c r="K103" i="19" s="1"/>
  <c r="BF37" i="8"/>
  <c r="BP37" i="8" s="1"/>
  <c r="BH37" i="8"/>
  <c r="BJ37" i="8" s="1"/>
  <c r="AB45" i="21"/>
  <c r="AJ25" i="21"/>
  <c r="H25" i="21" s="1"/>
  <c r="I25" i="21" s="1"/>
  <c r="J25" i="21" s="1"/>
  <c r="V44" i="21"/>
  <c r="AD44" i="21" s="1"/>
  <c r="V32" i="21"/>
  <c r="AD32" i="21" s="1"/>
  <c r="BF36" i="8"/>
  <c r="BP36" i="8" s="1"/>
  <c r="BH36" i="8"/>
  <c r="V48" i="21"/>
  <c r="AD48" i="21" s="1"/>
  <c r="AI48" i="21" s="1"/>
  <c r="R49" i="21"/>
  <c r="Q49" i="21"/>
  <c r="U49" i="21" s="1"/>
  <c r="Y49" i="21" s="1"/>
  <c r="P49" i="21"/>
  <c r="S49" i="21"/>
  <c r="W49" i="21" s="1"/>
  <c r="AA49" i="21" s="1"/>
  <c r="E100" i="19"/>
  <c r="AJ26" i="21"/>
  <c r="H26" i="21" s="1"/>
  <c r="I26" i="21" s="1"/>
  <c r="J26" i="21" s="1"/>
  <c r="AB34" i="21"/>
  <c r="E50" i="21"/>
  <c r="G50" i="21" s="1"/>
  <c r="AF52" i="19"/>
  <c r="AV13" i="8"/>
  <c r="AX13" i="8" s="1"/>
  <c r="H70" i="19" s="1"/>
  <c r="AW31" i="8"/>
  <c r="T44" i="21"/>
  <c r="BC23" i="8"/>
  <c r="AS40" i="8"/>
  <c r="AU23" i="8"/>
  <c r="T32" i="21"/>
  <c r="AB32" i="21" s="1"/>
  <c r="E25" i="25"/>
  <c r="E38" i="25" s="1"/>
  <c r="AE100" i="19"/>
  <c r="AV137" i="13"/>
  <c r="AW120" i="13"/>
  <c r="AB51" i="21"/>
  <c r="AG51" i="21" s="1"/>
  <c r="AJ51" i="21" s="1"/>
  <c r="H51" i="21" s="1"/>
  <c r="I51" i="21" s="1"/>
  <c r="J51" i="21" s="1"/>
  <c r="R52" i="21"/>
  <c r="P52" i="21"/>
  <c r="S52" i="21"/>
  <c r="W52" i="21" s="1"/>
  <c r="AA52" i="21" s="1"/>
  <c r="Q52" i="21"/>
  <c r="U52" i="21" s="1"/>
  <c r="Y52" i="21" s="1"/>
  <c r="V47" i="21"/>
  <c r="AD47" i="21" s="1"/>
  <c r="AI47" i="21" s="1"/>
  <c r="BH24" i="8"/>
  <c r="BF38" i="8"/>
  <c r="BP38" i="8" s="1"/>
  <c r="BJ32" i="8"/>
  <c r="BI14" i="8"/>
  <c r="BK14" i="8" s="1"/>
  <c r="H90" i="19" s="1"/>
  <c r="E71" i="19"/>
  <c r="N19" i="9"/>
  <c r="AQ23" i="13"/>
  <c r="AD25" i="12" s="1"/>
  <c r="AV6" i="13"/>
  <c r="BH27" i="8"/>
  <c r="G18" i="21"/>
  <c r="I5" i="21"/>
  <c r="AQ194" i="13"/>
  <c r="AD33" i="12" s="1"/>
  <c r="AF33" i="12" s="1"/>
  <c r="Q13" i="12" s="1"/>
  <c r="K89" i="19" s="1"/>
  <c r="AV177" i="13"/>
  <c r="BI17" i="8"/>
  <c r="BK17" i="8" s="1"/>
  <c r="H93" i="19" s="1"/>
  <c r="BJ35" i="8"/>
  <c r="T48" i="21"/>
  <c r="AB48" i="21"/>
  <c r="AG48" i="21" s="1"/>
  <c r="AJ48" i="21" s="1"/>
  <c r="H48" i="21" s="1"/>
  <c r="I48" i="21" s="1"/>
  <c r="J48" i="21" s="1"/>
  <c r="AF30" i="12"/>
  <c r="Q10" i="12" s="1"/>
  <c r="K86" i="19" s="1"/>
  <c r="BE28" i="8"/>
  <c r="BF28" i="8" s="1"/>
  <c r="AQ251" i="13"/>
  <c r="AD36" i="12" s="1"/>
  <c r="AV234" i="13"/>
  <c r="H57" i="19"/>
  <c r="T7" i="23" s="1"/>
  <c r="X7" i="23" s="1"/>
  <c r="X12" i="23" s="1"/>
  <c r="X15" i="23" s="1"/>
  <c r="W43" i="19"/>
  <c r="Q43" i="21"/>
  <c r="U43" i="21" s="1"/>
  <c r="Y43" i="21" s="1"/>
  <c r="P43" i="21"/>
  <c r="S43" i="21"/>
  <c r="W43" i="21" s="1"/>
  <c r="AA43" i="21" s="1"/>
  <c r="R43" i="21"/>
  <c r="BJ33" i="8"/>
  <c r="BI15" i="8"/>
  <c r="BK15" i="8" s="1"/>
  <c r="H91" i="19" s="1"/>
  <c r="BR32" i="8"/>
  <c r="BS32" i="8" s="1"/>
  <c r="BU32" i="8" s="1"/>
  <c r="BR35" i="8"/>
  <c r="BS35" i="8" s="1"/>
  <c r="BU35" i="8" s="1"/>
  <c r="AF33" i="9"/>
  <c r="AD33" i="9"/>
  <c r="AA41" i="9"/>
  <c r="AW36" i="8"/>
  <c r="AV18" i="8"/>
  <c r="AX18" i="8" s="1"/>
  <c r="H75" i="19" s="1"/>
  <c r="BF39" i="8"/>
  <c r="BP39" i="8" s="1"/>
  <c r="T47" i="21"/>
  <c r="AB47" i="21" s="1"/>
  <c r="BR24" i="8"/>
  <c r="BS24" i="8" s="1"/>
  <c r="BU24" i="8" s="1"/>
  <c r="V113" i="19"/>
  <c r="G114" i="19"/>
  <c r="AX120" i="13"/>
  <c r="AX137" i="13" s="1"/>
  <c r="E23" i="21"/>
  <c r="AF24" i="19"/>
  <c r="AF38" i="19" s="1"/>
  <c r="W38" i="19"/>
  <c r="BS33" i="8"/>
  <c r="BU33" i="8" s="1"/>
  <c r="BR33" i="8"/>
  <c r="AJ32" i="21" l="1"/>
  <c r="H32" i="21" s="1"/>
  <c r="I32" i="21" s="1"/>
  <c r="J32" i="21" s="1"/>
  <c r="AJ47" i="21"/>
  <c r="H47" i="21" s="1"/>
  <c r="I47" i="21" s="1"/>
  <c r="J47" i="21" s="1"/>
  <c r="BW32" i="8"/>
  <c r="BV14" i="8"/>
  <c r="BX14" i="8" s="1"/>
  <c r="H109" i="19" s="1"/>
  <c r="BW33" i="8"/>
  <c r="BV15" i="8"/>
  <c r="BX15" i="8" s="1"/>
  <c r="H110" i="19" s="1"/>
  <c r="BW27" i="8"/>
  <c r="BV9" i="8"/>
  <c r="BX9" i="8" s="1"/>
  <c r="H104" i="19" s="1"/>
  <c r="BW24" i="8"/>
  <c r="BV6" i="8"/>
  <c r="BX6" i="8" s="1"/>
  <c r="H101" i="19" s="1"/>
  <c r="AE113" i="19"/>
  <c r="F5" i="20"/>
  <c r="BS39" i="8"/>
  <c r="BU39" i="8"/>
  <c r="BW39" i="8" s="1"/>
  <c r="T43" i="21"/>
  <c r="E36" i="21"/>
  <c r="G23" i="21"/>
  <c r="AG33" i="9"/>
  <c r="AD41" i="9"/>
  <c r="AV251" i="13"/>
  <c r="AW234" i="13"/>
  <c r="AY234" i="13" s="1"/>
  <c r="AY251" i="13" s="1"/>
  <c r="AJ36" i="12" s="1"/>
  <c r="AL36" i="12" s="1"/>
  <c r="T16" i="12" s="1"/>
  <c r="K111" i="19" s="1"/>
  <c r="AX234" i="13"/>
  <c r="AX251" i="13" s="1"/>
  <c r="BI9" i="8"/>
  <c r="BK9" i="8" s="1"/>
  <c r="H85" i="19" s="1"/>
  <c r="BJ27" i="8"/>
  <c r="E76" i="19"/>
  <c r="AB6" i="23" s="1"/>
  <c r="V52" i="21"/>
  <c r="AD52" i="21" s="1"/>
  <c r="AI52" i="21" s="1"/>
  <c r="AV5" i="8"/>
  <c r="AU40" i="8"/>
  <c r="AW23" i="8"/>
  <c r="AW40" i="8" s="1"/>
  <c r="AB44" i="21"/>
  <c r="AG44" i="21" s="1"/>
  <c r="AJ44" i="21" s="1"/>
  <c r="H44" i="21" s="1"/>
  <c r="I44" i="21" s="1"/>
  <c r="J44" i="21" s="1"/>
  <c r="BI11" i="8"/>
  <c r="BK11" i="8" s="1"/>
  <c r="H87" i="19" s="1"/>
  <c r="BJ29" i="8"/>
  <c r="BR25" i="8"/>
  <c r="BS25" i="8" s="1"/>
  <c r="BU25" i="8" s="1"/>
  <c r="Q14" i="9"/>
  <c r="AF41" i="9"/>
  <c r="V43" i="21"/>
  <c r="AD43" i="21" s="1"/>
  <c r="AI43" i="21" s="1"/>
  <c r="E41" i="21"/>
  <c r="W57" i="19"/>
  <c r="AF43" i="19"/>
  <c r="AF57" i="19" s="1"/>
  <c r="AF36" i="12"/>
  <c r="Q16" i="12" s="1"/>
  <c r="K92" i="19" s="1"/>
  <c r="BE34" i="8"/>
  <c r="BF34" i="8" s="1"/>
  <c r="I18" i="21"/>
  <c r="J5" i="21"/>
  <c r="J18" i="21" s="1"/>
  <c r="AX6" i="13"/>
  <c r="AX23" i="13" s="1"/>
  <c r="AV23" i="13"/>
  <c r="AW6" i="13"/>
  <c r="AY6" i="13" s="1"/>
  <c r="AY23" i="13" s="1"/>
  <c r="AJ25" i="12" s="1"/>
  <c r="BE31" i="8"/>
  <c r="BF31" i="8" s="1"/>
  <c r="BI6" i="8"/>
  <c r="BK6" i="8" s="1"/>
  <c r="H82" i="19" s="1"/>
  <c r="BJ24" i="8"/>
  <c r="V114" i="19"/>
  <c r="BJ36" i="8"/>
  <c r="BR29" i="8"/>
  <c r="BS29" i="8" s="1"/>
  <c r="BU29" i="8" s="1"/>
  <c r="BI8" i="8"/>
  <c r="BK8" i="8" s="1"/>
  <c r="H84" i="19" s="1"/>
  <c r="BJ26" i="8"/>
  <c r="BH39" i="8"/>
  <c r="BJ39" i="8" s="1"/>
  <c r="BW35" i="8"/>
  <c r="BV17" i="8"/>
  <c r="BX17" i="8" s="1"/>
  <c r="H112" i="19" s="1"/>
  <c r="BP28" i="8"/>
  <c r="BH28" i="8"/>
  <c r="AV194" i="13"/>
  <c r="AW177" i="13"/>
  <c r="AX177" i="13"/>
  <c r="AX194" i="13" s="1"/>
  <c r="H5" i="21"/>
  <c r="H18" i="21" s="1"/>
  <c r="D18" i="23" s="1"/>
  <c r="H18" i="23" s="1"/>
  <c r="H19" i="23" s="1"/>
  <c r="H23" i="23" s="1"/>
  <c r="AF25" i="12"/>
  <c r="Q5" i="12" s="1"/>
  <c r="AD39" i="12"/>
  <c r="AF39" i="12" s="1"/>
  <c r="BH38" i="8"/>
  <c r="BJ38" i="8" s="1"/>
  <c r="T52" i="21"/>
  <c r="AB52" i="21" s="1"/>
  <c r="AG52" i="21" s="1"/>
  <c r="AJ52" i="21" s="1"/>
  <c r="H52" i="21" s="1"/>
  <c r="I52" i="21" s="1"/>
  <c r="J52" i="21" s="1"/>
  <c r="AE114" i="19"/>
  <c r="BE23" i="8"/>
  <c r="BC40" i="8"/>
  <c r="V49" i="21"/>
  <c r="AD49" i="21" s="1"/>
  <c r="AI49" i="21" s="1"/>
  <c r="BS36" i="8"/>
  <c r="BU36" i="8" s="1"/>
  <c r="BS37" i="8"/>
  <c r="BU37" i="8" s="1"/>
  <c r="BW37" i="8" s="1"/>
  <c r="BW30" i="8"/>
  <c r="BV12" i="8"/>
  <c r="BX12" i="8" s="1"/>
  <c r="H107" i="19" s="1"/>
  <c r="BS26" i="8"/>
  <c r="BU26" i="8" s="1"/>
  <c r="BR26" i="8"/>
  <c r="BS38" i="8"/>
  <c r="BU38" i="8"/>
  <c r="BW38" i="8" s="1"/>
  <c r="AW137" i="13"/>
  <c r="AY120" i="13"/>
  <c r="AY137" i="13" s="1"/>
  <c r="AJ30" i="12" s="1"/>
  <c r="AL30" i="12" s="1"/>
  <c r="T10" i="12" s="1"/>
  <c r="K105" i="19" s="1"/>
  <c r="P50" i="21"/>
  <c r="R50" i="21"/>
  <c r="S50" i="21"/>
  <c r="W50" i="21" s="1"/>
  <c r="AA50" i="21" s="1"/>
  <c r="Q50" i="21"/>
  <c r="U50" i="21" s="1"/>
  <c r="Y50" i="21" s="1"/>
  <c r="T49" i="21"/>
  <c r="AB49" i="21" s="1"/>
  <c r="AG49" i="21" s="1"/>
  <c r="BI7" i="8"/>
  <c r="BK7" i="8" s="1"/>
  <c r="H83" i="19" s="1"/>
  <c r="BJ25" i="8"/>
  <c r="BE40" i="8" l="1"/>
  <c r="AJ49" i="21"/>
  <c r="H49" i="21" s="1"/>
  <c r="I49" i="21" s="1"/>
  <c r="J49" i="21" s="1"/>
  <c r="BW26" i="8"/>
  <c r="BV8" i="8"/>
  <c r="BX8" i="8" s="1"/>
  <c r="H103" i="19" s="1"/>
  <c r="BV18" i="8"/>
  <c r="BX18" i="8" s="1"/>
  <c r="H113" i="19" s="1"/>
  <c r="BW36" i="8"/>
  <c r="BW25" i="8"/>
  <c r="BV7" i="8"/>
  <c r="BX7" i="8" s="1"/>
  <c r="H102" i="19" s="1"/>
  <c r="BW29" i="8"/>
  <c r="BV11" i="8"/>
  <c r="BX11" i="8" s="1"/>
  <c r="H106" i="19" s="1"/>
  <c r="T50" i="21"/>
  <c r="AB50" i="21" s="1"/>
  <c r="AG50" i="21" s="1"/>
  <c r="H25" i="23"/>
  <c r="D9" i="24" s="1"/>
  <c r="E9" i="24" s="1"/>
  <c r="D7" i="24"/>
  <c r="BI10" i="8"/>
  <c r="BK10" i="8" s="1"/>
  <c r="H86" i="19" s="1"/>
  <c r="BJ28" i="8"/>
  <c r="AL25" i="12"/>
  <c r="T5" i="12" s="1"/>
  <c r="AV19" i="8"/>
  <c r="AX5" i="8"/>
  <c r="AB43" i="21"/>
  <c r="AG43" i="21" s="1"/>
  <c r="AJ43" i="21" s="1"/>
  <c r="H43" i="21" s="1"/>
  <c r="I43" i="21" s="1"/>
  <c r="J43" i="21" s="1"/>
  <c r="BS28" i="8"/>
  <c r="BU28" i="8" s="1"/>
  <c r="BR28" i="8"/>
  <c r="AJ33" i="9"/>
  <c r="AJ41" i="9" s="1"/>
  <c r="AG41" i="9"/>
  <c r="F10" i="20"/>
  <c r="BF23" i="8"/>
  <c r="AY177" i="13"/>
  <c r="AY194" i="13" s="1"/>
  <c r="AJ33" i="12" s="1"/>
  <c r="AL33" i="12" s="1"/>
  <c r="T13" i="12" s="1"/>
  <c r="K108" i="19" s="1"/>
  <c r="BP34" i="8"/>
  <c r="BH34" i="8"/>
  <c r="E54" i="21"/>
  <c r="G41" i="21"/>
  <c r="E90" i="19"/>
  <c r="Q19" i="9"/>
  <c r="G36" i="21"/>
  <c r="Q23" i="21"/>
  <c r="S23" i="21"/>
  <c r="R23" i="21"/>
  <c r="P23" i="21"/>
  <c r="V50" i="21"/>
  <c r="AD50" i="21" s="1"/>
  <c r="AI50" i="21" s="1"/>
  <c r="K81" i="19"/>
  <c r="K95" i="19" s="1"/>
  <c r="Q19" i="12"/>
  <c r="BI18" i="8"/>
  <c r="BK18" i="8" s="1"/>
  <c r="H94" i="19" s="1"/>
  <c r="BP31" i="8"/>
  <c r="BH31" i="8"/>
  <c r="BW28" i="8" l="1"/>
  <c r="BV10" i="8"/>
  <c r="BX10" i="8" s="1"/>
  <c r="H105" i="19" s="1"/>
  <c r="S36" i="21"/>
  <c r="W23" i="21"/>
  <c r="E95" i="19"/>
  <c r="BS34" i="8"/>
  <c r="BR34" i="8"/>
  <c r="BU34" i="8"/>
  <c r="BF40" i="8"/>
  <c r="BP23" i="8"/>
  <c r="BH23" i="8"/>
  <c r="AL33" i="9"/>
  <c r="H62" i="19"/>
  <c r="AX19" i="8"/>
  <c r="G23" i="24"/>
  <c r="J9" i="24"/>
  <c r="I9" i="24"/>
  <c r="H9" i="24"/>
  <c r="G9" i="24"/>
  <c r="AJ50" i="21"/>
  <c r="H50" i="21" s="1"/>
  <c r="I50" i="21" s="1"/>
  <c r="J50" i="21" s="1"/>
  <c r="BI13" i="8"/>
  <c r="BK13" i="8" s="1"/>
  <c r="H89" i="19" s="1"/>
  <c r="BJ31" i="8"/>
  <c r="Q36" i="21"/>
  <c r="U23" i="21"/>
  <c r="G54" i="21"/>
  <c r="S41" i="21"/>
  <c r="R41" i="21"/>
  <c r="Q41" i="21"/>
  <c r="P41" i="21"/>
  <c r="BR31" i="8"/>
  <c r="BS31" i="8" s="1"/>
  <c r="BU31" i="8" s="1"/>
  <c r="P36" i="21"/>
  <c r="T23" i="21"/>
  <c r="T36" i="21" s="1"/>
  <c r="K100" i="19"/>
  <c r="K114" i="19" s="1"/>
  <c r="T19" i="12"/>
  <c r="R36" i="21"/>
  <c r="AD23" i="21"/>
  <c r="AD36" i="21" s="1"/>
  <c r="V23" i="21"/>
  <c r="V36" i="21" s="1"/>
  <c r="BI16" i="8"/>
  <c r="BK16" i="8" s="1"/>
  <c r="H92" i="19" s="1"/>
  <c r="BJ34" i="8"/>
  <c r="AJ39" i="12"/>
  <c r="AL39" i="12" s="1"/>
  <c r="K9" i="24" l="1"/>
  <c r="BW31" i="8"/>
  <c r="BV13" i="8"/>
  <c r="BX13" i="8" s="1"/>
  <c r="H108" i="19" s="1"/>
  <c r="R54" i="21"/>
  <c r="V41" i="21"/>
  <c r="V54" i="21" s="1"/>
  <c r="P54" i="21"/>
  <c r="T41" i="21"/>
  <c r="T54" i="21" s="1"/>
  <c r="W41" i="21"/>
  <c r="S54" i="21"/>
  <c r="U36" i="21"/>
  <c r="Y23" i="21"/>
  <c r="BI5" i="8"/>
  <c r="BH40" i="8"/>
  <c r="BJ23" i="8"/>
  <c r="BJ40" i="8" s="1"/>
  <c r="W36" i="21"/>
  <c r="AA23" i="21"/>
  <c r="Q54" i="21"/>
  <c r="U41" i="21"/>
  <c r="BP40" i="8"/>
  <c r="BR23" i="8"/>
  <c r="BR40" i="8" s="1"/>
  <c r="BS23" i="8"/>
  <c r="BS40" i="8" s="1"/>
  <c r="BU23" i="8"/>
  <c r="AB23" i="21"/>
  <c r="AB36" i="21" s="1"/>
  <c r="H23" i="24"/>
  <c r="I23" i="24" s="1"/>
  <c r="H76" i="19"/>
  <c r="AB7" i="23" s="1"/>
  <c r="T14" i="9"/>
  <c r="AL41" i="9"/>
  <c r="BV16" i="8"/>
  <c r="BX16" i="8" s="1"/>
  <c r="H111" i="19" s="1"/>
  <c r="BW34" i="8"/>
  <c r="E109" i="19" l="1"/>
  <c r="T19" i="9"/>
  <c r="BU40" i="8"/>
  <c r="BW23" i="8"/>
  <c r="BW40" i="8" s="1"/>
  <c r="BV5" i="8"/>
  <c r="U54" i="21"/>
  <c r="Y41" i="21"/>
  <c r="W54" i="21"/>
  <c r="AA41" i="21"/>
  <c r="Y36" i="21"/>
  <c r="AG23" i="21"/>
  <c r="AA36" i="21"/>
  <c r="AI23" i="21"/>
  <c r="AI36" i="21" s="1"/>
  <c r="BI19" i="8"/>
  <c r="BK5" i="8"/>
  <c r="AB41" i="21"/>
  <c r="AB54" i="21" s="1"/>
  <c r="AD41" i="21"/>
  <c r="AD54" i="21" s="1"/>
  <c r="AG36" i="21" l="1"/>
  <c r="AJ23" i="21"/>
  <c r="Y54" i="21"/>
  <c r="AG41" i="21"/>
  <c r="H81" i="19"/>
  <c r="BK19" i="8"/>
  <c r="AA54" i="21"/>
  <c r="AI41" i="21"/>
  <c r="AI54" i="21" s="1"/>
  <c r="BX5" i="8"/>
  <c r="BV19" i="8"/>
  <c r="E114" i="19"/>
  <c r="AG54" i="21" l="1"/>
  <c r="AJ41" i="21"/>
  <c r="AJ36" i="21"/>
  <c r="H23" i="21"/>
  <c r="H100" i="19"/>
  <c r="BX19" i="8"/>
  <c r="H95" i="19"/>
  <c r="H36" i="21" l="1"/>
  <c r="P16" i="23" s="1"/>
  <c r="P17" i="23" s="1"/>
  <c r="P21" i="23" s="1"/>
  <c r="D10" i="24" s="1"/>
  <c r="E10" i="24" s="1"/>
  <c r="I23" i="21"/>
  <c r="AJ54" i="21"/>
  <c r="H41" i="21"/>
  <c r="H114" i="19"/>
  <c r="G10" i="24" l="1"/>
  <c r="J10" i="24"/>
  <c r="G24" i="24"/>
  <c r="I10" i="24"/>
  <c r="H10" i="24"/>
  <c r="H54" i="21"/>
  <c r="X16" i="23" s="1"/>
  <c r="X17" i="23" s="1"/>
  <c r="X21" i="23" s="1"/>
  <c r="D11" i="24" s="1"/>
  <c r="E11" i="24" s="1"/>
  <c r="I41" i="21"/>
  <c r="I36" i="21"/>
  <c r="J23" i="21"/>
  <c r="J36" i="21" s="1"/>
  <c r="I54" i="21" l="1"/>
  <c r="J41" i="21"/>
  <c r="J54" i="21" s="1"/>
  <c r="G25" i="24"/>
  <c r="I11" i="24"/>
  <c r="I13" i="24" s="1"/>
  <c r="H11" i="24"/>
  <c r="J11" i="24"/>
  <c r="J13" i="24" s="1"/>
  <c r="H24" i="24"/>
  <c r="I24" i="24" s="1"/>
  <c r="G13" i="24"/>
  <c r="K10" i="24"/>
  <c r="H25" i="24" l="1"/>
  <c r="I25" i="24" s="1"/>
  <c r="H13" i="24"/>
  <c r="K11" i="24"/>
  <c r="K86" i="17" l="1"/>
  <c r="AF67" i="16" s="1"/>
  <c r="AE67" i="16" s="1"/>
  <c r="AN67" i="16" s="1"/>
  <c r="AF86" i="17"/>
  <c r="AI67" i="16" s="1"/>
  <c r="AO67" i="16" s="1"/>
  <c r="AR67" i="16" s="1"/>
  <c r="I19" i="24"/>
  <c r="I20" i="24"/>
  <c r="I21" i="24"/>
  <c r="I22" i="24"/>
  <c r="H33" i="24"/>
  <c r="AC70" i="19" l="1"/>
  <c r="AC76" i="19" s="1"/>
  <c r="AY67" i="16"/>
  <c r="AY72" i="16" s="1"/>
  <c r="AT67" i="16"/>
  <c r="AR72" i="16"/>
  <c r="AB14" i="23" s="1"/>
  <c r="AU67" i="16"/>
  <c r="D85" i="18" l="1"/>
  <c r="AU72" i="16"/>
  <c r="C85" i="18"/>
  <c r="AT72" i="16"/>
  <c r="AV67" i="16"/>
  <c r="AV72" i="16" s="1"/>
  <c r="C91" i="18" l="1"/>
  <c r="H85" i="18"/>
  <c r="H91" i="18" s="1"/>
  <c r="D91" i="18"/>
  <c r="E59" i="21" l="1"/>
  <c r="G59" i="21"/>
  <c r="H59" i="21"/>
  <c r="I59" i="21"/>
  <c r="J59" i="21"/>
  <c r="E60" i="21"/>
  <c r="G60" i="21"/>
  <c r="H60" i="21"/>
  <c r="I60" i="21"/>
  <c r="J60" i="21"/>
  <c r="E61" i="21"/>
  <c r="G61" i="21"/>
  <c r="H61" i="21"/>
  <c r="I61" i="21"/>
  <c r="J61" i="21"/>
  <c r="E62" i="21"/>
  <c r="G62" i="21"/>
  <c r="H62" i="21"/>
  <c r="I62" i="21"/>
  <c r="J62" i="21"/>
  <c r="E63" i="21"/>
  <c r="G63" i="21"/>
  <c r="H63" i="21"/>
  <c r="I63" i="21"/>
  <c r="J63" i="21"/>
  <c r="E64" i="21"/>
  <c r="G64" i="21"/>
  <c r="I64" i="21"/>
  <c r="J64" i="21"/>
  <c r="E65" i="21"/>
  <c r="G65" i="21"/>
  <c r="H65" i="21"/>
  <c r="I65" i="21"/>
  <c r="J65" i="21"/>
  <c r="E66" i="21"/>
  <c r="G66" i="21"/>
  <c r="H66" i="21"/>
  <c r="I66" i="21"/>
  <c r="J66" i="21"/>
  <c r="E67" i="21"/>
  <c r="G67" i="21"/>
  <c r="H67" i="21"/>
  <c r="I67" i="21"/>
  <c r="J67" i="21"/>
  <c r="E68" i="21"/>
  <c r="G68" i="21"/>
  <c r="H68" i="21"/>
  <c r="I68" i="21"/>
  <c r="J68" i="21"/>
  <c r="E69" i="21"/>
  <c r="G69" i="21"/>
  <c r="H69" i="21"/>
  <c r="I69" i="21"/>
  <c r="J69" i="21"/>
  <c r="E70" i="21"/>
  <c r="G70" i="21"/>
  <c r="H70" i="21"/>
  <c r="I70" i="21"/>
  <c r="J70" i="21"/>
  <c r="E71" i="21"/>
  <c r="G71" i="21"/>
  <c r="H71" i="21"/>
  <c r="I71" i="21"/>
  <c r="J71" i="21"/>
  <c r="E72" i="21"/>
  <c r="G72" i="21"/>
  <c r="H72" i="21"/>
  <c r="I72" i="21"/>
  <c r="J72" i="21"/>
  <c r="E77" i="21"/>
  <c r="G77" i="21"/>
  <c r="H77" i="21"/>
  <c r="I77" i="21"/>
  <c r="J77" i="21"/>
  <c r="E78" i="21"/>
  <c r="G78" i="21"/>
  <c r="H78" i="21"/>
  <c r="I78" i="21"/>
  <c r="J78" i="21"/>
  <c r="E79" i="21"/>
  <c r="G79" i="21"/>
  <c r="H79" i="21"/>
  <c r="I79" i="21"/>
  <c r="J79" i="21"/>
  <c r="E80" i="21"/>
  <c r="G80" i="21"/>
  <c r="H80" i="21"/>
  <c r="I80" i="21"/>
  <c r="J80" i="21"/>
  <c r="E81" i="21"/>
  <c r="G81" i="21"/>
  <c r="H81" i="21"/>
  <c r="I81" i="21"/>
  <c r="J81" i="21"/>
  <c r="E82" i="21"/>
  <c r="G82" i="21"/>
  <c r="I82" i="21"/>
  <c r="J82" i="21"/>
  <c r="E83" i="21"/>
  <c r="G83" i="21"/>
  <c r="H83" i="21"/>
  <c r="I83" i="21"/>
  <c r="J83" i="21"/>
  <c r="E84" i="21"/>
  <c r="G84" i="21"/>
  <c r="H84" i="21"/>
  <c r="I84" i="21"/>
  <c r="J84" i="21"/>
  <c r="E85" i="21"/>
  <c r="G85" i="21"/>
  <c r="H85" i="21"/>
  <c r="I85" i="21"/>
  <c r="J85" i="21"/>
  <c r="E86" i="21"/>
  <c r="G86" i="21"/>
  <c r="H86" i="21"/>
  <c r="I86" i="21"/>
  <c r="J86" i="21"/>
  <c r="E87" i="21"/>
  <c r="G87" i="21"/>
  <c r="H87" i="21"/>
  <c r="I87" i="21"/>
  <c r="J87" i="21"/>
  <c r="E88" i="21"/>
  <c r="G88" i="21"/>
  <c r="H88" i="21"/>
  <c r="I88" i="21"/>
  <c r="J88" i="21"/>
  <c r="E89" i="21"/>
  <c r="G89" i="21"/>
  <c r="H89" i="21"/>
  <c r="I89" i="21"/>
  <c r="J89" i="21"/>
  <c r="E90" i="21"/>
  <c r="G90" i="21"/>
  <c r="H90" i="21"/>
  <c r="I90" i="21"/>
  <c r="J90" i="21"/>
  <c r="E95" i="21"/>
  <c r="G95" i="21"/>
  <c r="H95" i="21"/>
  <c r="I95" i="21"/>
  <c r="J95" i="21"/>
  <c r="E96" i="21"/>
  <c r="G96" i="21"/>
  <c r="H96" i="21"/>
  <c r="I96" i="21"/>
  <c r="J96" i="21"/>
  <c r="E97" i="21"/>
  <c r="G97" i="21"/>
  <c r="H97" i="21"/>
  <c r="I97" i="21"/>
  <c r="J97" i="21"/>
  <c r="E98" i="21"/>
  <c r="G98" i="21"/>
  <c r="H98" i="21"/>
  <c r="I98" i="21"/>
  <c r="J98" i="21"/>
  <c r="E99" i="21"/>
  <c r="G99" i="21"/>
  <c r="H99" i="21"/>
  <c r="I99" i="21"/>
  <c r="J99" i="21"/>
  <c r="E100" i="21"/>
  <c r="G100" i="21"/>
  <c r="I100" i="21"/>
  <c r="J100" i="21"/>
  <c r="E101" i="21"/>
  <c r="G101" i="21"/>
  <c r="H101" i="21"/>
  <c r="I101" i="21"/>
  <c r="J101" i="21"/>
  <c r="E102" i="21"/>
  <c r="G102" i="21"/>
  <c r="H102" i="21"/>
  <c r="I102" i="21"/>
  <c r="J102" i="21"/>
  <c r="E103" i="21"/>
  <c r="G103" i="21"/>
  <c r="H103" i="21"/>
  <c r="I103" i="21"/>
  <c r="J103" i="21"/>
  <c r="E104" i="21"/>
  <c r="G104" i="21"/>
  <c r="H104" i="21"/>
  <c r="I104" i="21"/>
  <c r="J104" i="21"/>
  <c r="E105" i="21"/>
  <c r="G105" i="21"/>
  <c r="H105" i="21"/>
  <c r="I105" i="21"/>
  <c r="J105" i="21"/>
  <c r="E106" i="21"/>
  <c r="G106" i="21"/>
  <c r="H106" i="21"/>
  <c r="I106" i="21"/>
  <c r="J106" i="21"/>
  <c r="E107" i="21"/>
  <c r="G107" i="21"/>
  <c r="H107" i="21"/>
  <c r="I107" i="21"/>
  <c r="J107" i="21"/>
  <c r="E108" i="21"/>
  <c r="G108" i="21"/>
  <c r="H108" i="21"/>
  <c r="I108" i="21"/>
  <c r="J108" i="21"/>
  <c r="Q62" i="19"/>
  <c r="W62" i="19"/>
  <c r="AF62" i="19"/>
  <c r="Q63" i="19"/>
  <c r="W63" i="19"/>
  <c r="AF63" i="19"/>
  <c r="Q64" i="19"/>
  <c r="W64" i="19"/>
  <c r="AF64" i="19"/>
  <c r="Q65" i="19"/>
  <c r="W65" i="19"/>
  <c r="AF65" i="19"/>
  <c r="Q66" i="19"/>
  <c r="W66" i="19"/>
  <c r="AF66" i="19"/>
  <c r="Q67" i="19"/>
  <c r="W67" i="19"/>
  <c r="AF67" i="19"/>
  <c r="Q68" i="19"/>
  <c r="W68" i="19"/>
  <c r="AF68" i="19"/>
  <c r="Q69" i="19"/>
  <c r="W69" i="19"/>
  <c r="AF69" i="19"/>
  <c r="Q70" i="19"/>
  <c r="W70" i="19"/>
  <c r="AF70" i="19"/>
  <c r="Q71" i="19"/>
  <c r="W71" i="19"/>
  <c r="AF71" i="19"/>
  <c r="Q72" i="19"/>
  <c r="W72" i="19"/>
  <c r="AF72" i="19"/>
  <c r="Q73" i="19"/>
  <c r="W73" i="19"/>
  <c r="AF73" i="19"/>
  <c r="Q74" i="19"/>
  <c r="W74" i="19"/>
  <c r="AF74" i="19"/>
  <c r="Q75" i="19"/>
  <c r="W75" i="19"/>
  <c r="AF75" i="19"/>
  <c r="Q76" i="19"/>
  <c r="W76" i="19"/>
  <c r="AF76" i="19"/>
  <c r="Q81" i="19"/>
  <c r="W81" i="19"/>
  <c r="AF81" i="19"/>
  <c r="Q82" i="19"/>
  <c r="W82" i="19"/>
  <c r="AF82" i="19"/>
  <c r="Q83" i="19"/>
  <c r="W83" i="19"/>
  <c r="AF83" i="19"/>
  <c r="Q84" i="19"/>
  <c r="W84" i="19"/>
  <c r="AF84" i="19"/>
  <c r="Q85" i="19"/>
  <c r="W85" i="19"/>
  <c r="AF85" i="19"/>
  <c r="Q86" i="19"/>
  <c r="W86" i="19"/>
  <c r="AF86" i="19"/>
  <c r="Q87" i="19"/>
  <c r="W87" i="19"/>
  <c r="AF87" i="19"/>
  <c r="Q88" i="19"/>
  <c r="W88" i="19"/>
  <c r="AF88" i="19"/>
  <c r="Q89" i="19"/>
  <c r="W89" i="19"/>
  <c r="AF89" i="19"/>
  <c r="Q90" i="19"/>
  <c r="W90" i="19"/>
  <c r="AF90" i="19"/>
  <c r="Q91" i="19"/>
  <c r="W91" i="19"/>
  <c r="AF91" i="19"/>
  <c r="Q92" i="19"/>
  <c r="W92" i="19"/>
  <c r="AF92" i="19"/>
  <c r="Q93" i="19"/>
  <c r="W93" i="19"/>
  <c r="AF93" i="19"/>
  <c r="Q94" i="19"/>
  <c r="W94" i="19"/>
  <c r="AF94" i="19"/>
  <c r="Q95" i="19"/>
  <c r="W95" i="19"/>
  <c r="AF95" i="19"/>
  <c r="Q100" i="19"/>
  <c r="W100" i="19"/>
  <c r="AF100" i="19"/>
  <c r="Q101" i="19"/>
  <c r="W101" i="19"/>
  <c r="AF101" i="19"/>
  <c r="Q102" i="19"/>
  <c r="W102" i="19"/>
  <c r="AF102" i="19"/>
  <c r="Q103" i="19"/>
  <c r="W103" i="19"/>
  <c r="AF103" i="19"/>
  <c r="Q104" i="19"/>
  <c r="W104" i="19"/>
  <c r="AF104" i="19"/>
  <c r="Q105" i="19"/>
  <c r="W105" i="19"/>
  <c r="AF105" i="19"/>
  <c r="Q106" i="19"/>
  <c r="W106" i="19"/>
  <c r="AF106" i="19"/>
  <c r="Q107" i="19"/>
  <c r="W107" i="19"/>
  <c r="AF107" i="19"/>
  <c r="Q108" i="19"/>
  <c r="W108" i="19"/>
  <c r="AF108" i="19"/>
  <c r="Q109" i="19"/>
  <c r="W109" i="19"/>
  <c r="AF109" i="19"/>
  <c r="Q110" i="19"/>
  <c r="W110" i="19"/>
  <c r="AF110" i="19"/>
  <c r="Q111" i="19"/>
  <c r="W111" i="19"/>
  <c r="AF111" i="19"/>
  <c r="Q112" i="19"/>
  <c r="W112" i="19"/>
  <c r="AF112" i="19"/>
  <c r="Q113" i="19"/>
  <c r="W113" i="19"/>
  <c r="AF113" i="19"/>
  <c r="Q114" i="19"/>
  <c r="W114" i="19"/>
  <c r="AF114" i="19"/>
  <c r="C37" i="3"/>
  <c r="D37" i="3"/>
  <c r="E37" i="3"/>
  <c r="F37" i="3"/>
  <c r="G37" i="3"/>
  <c r="H37" i="3"/>
  <c r="C39" i="3"/>
  <c r="D39" i="3"/>
  <c r="E39" i="3"/>
  <c r="F39" i="3"/>
  <c r="G39" i="3"/>
  <c r="H39" i="3"/>
  <c r="C41" i="3"/>
  <c r="D41" i="3"/>
  <c r="E41" i="3"/>
  <c r="F41" i="3"/>
  <c r="G41" i="3"/>
  <c r="H41" i="3"/>
  <c r="C45" i="3"/>
  <c r="D45" i="3"/>
  <c r="E45" i="3"/>
  <c r="F45" i="3"/>
  <c r="G45" i="3"/>
  <c r="H45" i="3"/>
  <c r="D48" i="3"/>
  <c r="E48" i="3"/>
  <c r="F48" i="3"/>
  <c r="G48" i="3"/>
  <c r="H48" i="3"/>
  <c r="I48" i="3"/>
  <c r="J48" i="3"/>
  <c r="K48" i="3"/>
  <c r="L48" i="3"/>
  <c r="M48" i="3"/>
  <c r="C49" i="3"/>
  <c r="D49" i="3"/>
  <c r="E49" i="3"/>
  <c r="F49" i="3"/>
  <c r="G49" i="3"/>
  <c r="H49" i="3"/>
  <c r="C50" i="3"/>
  <c r="D50" i="3"/>
  <c r="E50" i="3"/>
  <c r="F50" i="3"/>
  <c r="G50" i="3"/>
  <c r="H50" i="3"/>
  <c r="I50" i="3"/>
  <c r="J50" i="3"/>
  <c r="K50" i="3"/>
  <c r="L50" i="3"/>
  <c r="M50" i="3"/>
  <c r="C51" i="3"/>
  <c r="D51" i="3"/>
  <c r="E51" i="3"/>
  <c r="F51" i="3"/>
  <c r="G51" i="3"/>
  <c r="H51" i="3"/>
  <c r="I51" i="3"/>
  <c r="J51" i="3"/>
  <c r="K51" i="3"/>
  <c r="L51" i="3"/>
  <c r="M51" i="3"/>
  <c r="C53" i="3"/>
  <c r="C47" i="5"/>
  <c r="D47" i="5"/>
  <c r="E47" i="5"/>
  <c r="C49" i="5"/>
  <c r="D49" i="5"/>
  <c r="E49" i="5"/>
  <c r="C51" i="5"/>
  <c r="D51" i="5"/>
  <c r="E51" i="5"/>
  <c r="C55" i="5"/>
  <c r="D55" i="5"/>
  <c r="E55" i="5"/>
  <c r="D58" i="5"/>
  <c r="E58" i="5"/>
  <c r="F58" i="5"/>
  <c r="G58" i="5"/>
  <c r="H58" i="5"/>
  <c r="I58" i="5"/>
  <c r="J58" i="5"/>
  <c r="C59" i="5"/>
  <c r="D59" i="5"/>
  <c r="E59" i="5"/>
  <c r="C60" i="5"/>
  <c r="D60" i="5"/>
  <c r="E60" i="5"/>
  <c r="F60" i="5"/>
  <c r="G60" i="5"/>
  <c r="H60" i="5"/>
  <c r="I60" i="5"/>
  <c r="J60" i="5"/>
  <c r="C61" i="5"/>
  <c r="D61" i="5"/>
  <c r="E61" i="5"/>
  <c r="F61" i="5"/>
  <c r="G61" i="5"/>
  <c r="H61" i="5"/>
  <c r="I61" i="5"/>
  <c r="J61" i="5"/>
  <c r="C63" i="5"/>
  <c r="E5" i="20"/>
  <c r="G5" i="20"/>
  <c r="E7" i="20"/>
  <c r="G7" i="20"/>
  <c r="E8" i="20"/>
  <c r="G8" i="20"/>
  <c r="E9" i="20"/>
  <c r="G9" i="20"/>
  <c r="E10" i="20"/>
  <c r="G10" i="20"/>
  <c r="E21" i="20"/>
  <c r="G21" i="20"/>
  <c r="E22" i="20"/>
  <c r="G22" i="20"/>
  <c r="E23" i="20"/>
  <c r="G23" i="20"/>
  <c r="E25" i="20"/>
  <c r="G25" i="20"/>
  <c r="E26" i="20"/>
  <c r="G26" i="20"/>
  <c r="E27" i="20"/>
  <c r="G27" i="20"/>
  <c r="N5" i="18"/>
  <c r="Q5" i="18"/>
  <c r="T5" i="18"/>
  <c r="N6" i="18"/>
  <c r="Q6" i="18"/>
  <c r="T6" i="18"/>
  <c r="N7" i="18"/>
  <c r="Q7" i="18"/>
  <c r="T7" i="18"/>
  <c r="N8" i="18"/>
  <c r="Q8" i="18"/>
  <c r="T8" i="18"/>
  <c r="N9" i="18"/>
  <c r="Q9" i="18"/>
  <c r="T9" i="18"/>
  <c r="N10" i="18"/>
  <c r="Q10" i="18"/>
  <c r="T10" i="18"/>
  <c r="N11" i="18"/>
  <c r="Q11" i="18"/>
  <c r="T11" i="18"/>
  <c r="N12" i="18"/>
  <c r="Q12" i="18"/>
  <c r="T12" i="18"/>
  <c r="N13" i="18"/>
  <c r="Q13" i="18"/>
  <c r="T13" i="18"/>
  <c r="N14" i="18"/>
  <c r="Q14" i="18"/>
  <c r="T14" i="18"/>
  <c r="N15" i="18"/>
  <c r="Q15" i="18"/>
  <c r="T15" i="18"/>
  <c r="N16" i="18"/>
  <c r="Q16" i="18"/>
  <c r="T16" i="18"/>
  <c r="N17" i="18"/>
  <c r="Q17" i="18"/>
  <c r="T17" i="18"/>
  <c r="N18" i="18"/>
  <c r="Q18" i="18"/>
  <c r="T18" i="18"/>
  <c r="N19" i="18"/>
  <c r="Q19" i="18"/>
  <c r="T19" i="18"/>
  <c r="G77" i="18"/>
  <c r="I77" i="18"/>
  <c r="K77" i="18"/>
  <c r="G78" i="18"/>
  <c r="I78" i="18"/>
  <c r="K78" i="18"/>
  <c r="G79" i="18"/>
  <c r="I79" i="18"/>
  <c r="K79" i="18"/>
  <c r="G80" i="18"/>
  <c r="I80" i="18"/>
  <c r="K80" i="18"/>
  <c r="G81" i="18"/>
  <c r="I81" i="18"/>
  <c r="K81" i="18"/>
  <c r="G82" i="18"/>
  <c r="I82" i="18"/>
  <c r="K82" i="18"/>
  <c r="G83" i="18"/>
  <c r="I83" i="18"/>
  <c r="K83" i="18"/>
  <c r="G84" i="18"/>
  <c r="I84" i="18"/>
  <c r="K84" i="18"/>
  <c r="G85" i="18"/>
  <c r="I85" i="18"/>
  <c r="K85" i="18"/>
  <c r="G86" i="18"/>
  <c r="I86" i="18"/>
  <c r="K86" i="18"/>
  <c r="G87" i="18"/>
  <c r="I87" i="18"/>
  <c r="K87" i="18"/>
  <c r="G88" i="18"/>
  <c r="I88" i="18"/>
  <c r="K88" i="18"/>
  <c r="G89" i="18"/>
  <c r="I89" i="18"/>
  <c r="K89" i="18"/>
  <c r="G90" i="18"/>
  <c r="I90" i="18"/>
  <c r="K90" i="18"/>
  <c r="G91" i="18"/>
  <c r="I91" i="18"/>
  <c r="K91" i="18"/>
  <c r="G95" i="18"/>
  <c r="I95" i="18"/>
  <c r="K95" i="18"/>
  <c r="G96" i="18"/>
  <c r="I96" i="18"/>
  <c r="K96" i="18"/>
  <c r="G97" i="18"/>
  <c r="I97" i="18"/>
  <c r="K97" i="18"/>
  <c r="G98" i="18"/>
  <c r="I98" i="18"/>
  <c r="K98" i="18"/>
  <c r="G99" i="18"/>
  <c r="I99" i="18"/>
  <c r="K99" i="18"/>
  <c r="G100" i="18"/>
  <c r="I100" i="18"/>
  <c r="K100" i="18"/>
  <c r="G101" i="18"/>
  <c r="I101" i="18"/>
  <c r="K101" i="18"/>
  <c r="G102" i="18"/>
  <c r="I102" i="18"/>
  <c r="K102" i="18"/>
  <c r="G103" i="18"/>
  <c r="I103" i="18"/>
  <c r="K103" i="18"/>
  <c r="G104" i="18"/>
  <c r="I104" i="18"/>
  <c r="K104" i="18"/>
  <c r="G105" i="18"/>
  <c r="I105" i="18"/>
  <c r="K105" i="18"/>
  <c r="G106" i="18"/>
  <c r="I106" i="18"/>
  <c r="K106" i="18"/>
  <c r="G107" i="18"/>
  <c r="I107" i="18"/>
  <c r="K107" i="18"/>
  <c r="G108" i="18"/>
  <c r="I108" i="18"/>
  <c r="K108" i="18"/>
  <c r="G109" i="18"/>
  <c r="I109" i="18"/>
  <c r="K109" i="18"/>
  <c r="G113" i="18"/>
  <c r="I113" i="18"/>
  <c r="K113" i="18"/>
  <c r="G114" i="18"/>
  <c r="I114" i="18"/>
  <c r="K114" i="18"/>
  <c r="G115" i="18"/>
  <c r="I115" i="18"/>
  <c r="K115" i="18"/>
  <c r="G116" i="18"/>
  <c r="I116" i="18"/>
  <c r="K116" i="18"/>
  <c r="G117" i="18"/>
  <c r="I117" i="18"/>
  <c r="K117" i="18"/>
  <c r="G118" i="18"/>
  <c r="I118" i="18"/>
  <c r="K118" i="18"/>
  <c r="G119" i="18"/>
  <c r="I119" i="18"/>
  <c r="K119" i="18"/>
  <c r="G120" i="18"/>
  <c r="I120" i="18"/>
  <c r="K120" i="18"/>
  <c r="G121" i="18"/>
  <c r="I121" i="18"/>
  <c r="K121" i="18"/>
  <c r="G122" i="18"/>
  <c r="I122" i="18"/>
  <c r="K122" i="18"/>
  <c r="G123" i="18"/>
  <c r="I123" i="18"/>
  <c r="K123" i="18"/>
  <c r="G124" i="18"/>
  <c r="I124" i="18"/>
  <c r="K124" i="18"/>
  <c r="G125" i="18"/>
  <c r="I125" i="18"/>
  <c r="K125" i="18"/>
  <c r="G126" i="18"/>
  <c r="I126" i="18"/>
  <c r="K126" i="18"/>
  <c r="G127" i="18"/>
  <c r="I127" i="18"/>
  <c r="K127" i="18"/>
  <c r="C47" i="4"/>
  <c r="D47" i="4"/>
  <c r="E47" i="4"/>
  <c r="C49" i="4"/>
  <c r="D49" i="4"/>
  <c r="E49" i="4"/>
  <c r="C51" i="4"/>
  <c r="D51" i="4"/>
  <c r="E51" i="4"/>
  <c r="C55" i="4"/>
  <c r="D55" i="4"/>
  <c r="E55" i="4"/>
  <c r="D58" i="4"/>
  <c r="E58" i="4"/>
  <c r="F58" i="4"/>
  <c r="G58" i="4"/>
  <c r="H58" i="4"/>
  <c r="I58" i="4"/>
  <c r="J58" i="4"/>
  <c r="C59" i="4"/>
  <c r="D59" i="4"/>
  <c r="E59" i="4"/>
  <c r="C60" i="4"/>
  <c r="D60" i="4"/>
  <c r="E60" i="4"/>
  <c r="F60" i="4"/>
  <c r="G60" i="4"/>
  <c r="H60" i="4"/>
  <c r="I60" i="4"/>
  <c r="J60" i="4"/>
  <c r="C61" i="4"/>
  <c r="D61" i="4"/>
  <c r="E61" i="4"/>
  <c r="F61" i="4"/>
  <c r="G61" i="4"/>
  <c r="H61" i="4"/>
  <c r="I61" i="4"/>
  <c r="J61" i="4"/>
  <c r="C63" i="4"/>
  <c r="C47" i="6"/>
  <c r="D47" i="6"/>
  <c r="C49" i="6"/>
  <c r="D49" i="6"/>
  <c r="C51" i="6"/>
  <c r="D51" i="6"/>
  <c r="C55" i="6"/>
  <c r="D55" i="6"/>
  <c r="D58" i="6"/>
  <c r="E58" i="6"/>
  <c r="F58" i="6"/>
  <c r="G58" i="6"/>
  <c r="H58" i="6"/>
  <c r="I58" i="6"/>
  <c r="C59" i="6"/>
  <c r="D59" i="6"/>
  <c r="C60" i="6"/>
  <c r="D60" i="6"/>
  <c r="E60" i="6"/>
  <c r="F60" i="6"/>
  <c r="G60" i="6"/>
  <c r="H60" i="6"/>
  <c r="I60" i="6"/>
  <c r="C61" i="6"/>
  <c r="D61" i="6"/>
  <c r="E61" i="6"/>
  <c r="F61" i="6"/>
  <c r="G61" i="6"/>
  <c r="H61" i="6"/>
  <c r="I61" i="6"/>
  <c r="C63" i="6"/>
  <c r="D17" i="2"/>
  <c r="E17" i="2"/>
  <c r="D18" i="2"/>
  <c r="E18" i="2"/>
  <c r="D21" i="2"/>
  <c r="E21" i="2"/>
  <c r="D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4" i="2"/>
  <c r="E44" i="2"/>
  <c r="D45" i="2"/>
  <c r="E45" i="2"/>
  <c r="D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9" i="2"/>
  <c r="E69" i="2"/>
  <c r="F69" i="2"/>
  <c r="G69" i="2"/>
  <c r="D70" i="2"/>
  <c r="E70" i="2"/>
  <c r="F70" i="2"/>
  <c r="G70" i="2"/>
  <c r="D73" i="2"/>
  <c r="E73" i="2"/>
  <c r="F73" i="2"/>
  <c r="G73" i="2"/>
  <c r="D83" i="2"/>
  <c r="F83" i="2"/>
  <c r="D84" i="2"/>
  <c r="E84" i="2"/>
  <c r="F84" i="2"/>
  <c r="G84" i="2"/>
  <c r="D85" i="2"/>
  <c r="E85" i="2"/>
  <c r="F85" i="2"/>
  <c r="G85" i="2"/>
  <c r="D86" i="2"/>
  <c r="E86" i="2"/>
  <c r="F86" i="2"/>
  <c r="G86" i="2"/>
  <c r="D87" i="2"/>
  <c r="E87" i="2"/>
  <c r="F87" i="2"/>
  <c r="G87" i="2"/>
  <c r="D88" i="2"/>
  <c r="E88" i="2"/>
  <c r="F88" i="2"/>
  <c r="G88" i="2"/>
  <c r="D89" i="2"/>
  <c r="E89" i="2"/>
  <c r="F89" i="2"/>
  <c r="G89" i="2"/>
  <c r="D90" i="2"/>
  <c r="E90" i="2"/>
  <c r="F90" i="2"/>
  <c r="G90" i="2"/>
  <c r="D91" i="2"/>
  <c r="E91" i="2"/>
  <c r="F91" i="2"/>
  <c r="G91" i="2"/>
  <c r="D96" i="2"/>
  <c r="E96" i="2"/>
  <c r="D97" i="2"/>
  <c r="E97" i="2"/>
  <c r="D107" i="2"/>
  <c r="D108" i="2"/>
  <c r="E108" i="2"/>
  <c r="D109" i="2"/>
  <c r="E109" i="2"/>
  <c r="D110" i="2"/>
  <c r="E110" i="2"/>
  <c r="D111" i="2"/>
  <c r="E111" i="2"/>
  <c r="D112" i="2"/>
  <c r="E112" i="2"/>
  <c r="D113" i="2"/>
  <c r="E113" i="2"/>
  <c r="D114" i="2"/>
  <c r="E114" i="2"/>
  <c r="D115" i="2"/>
  <c r="E115" i="2"/>
  <c r="D120" i="2"/>
  <c r="E120" i="2"/>
  <c r="D121" i="2"/>
  <c r="E121" i="2"/>
  <c r="D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AB10" i="23"/>
  <c r="AB12" i="23"/>
  <c r="AB15" i="23"/>
  <c r="AB16" i="23"/>
  <c r="AB17" i="23"/>
  <c r="AB19" i="23"/>
  <c r="D12" i="24"/>
  <c r="E12" i="24"/>
  <c r="K12" i="24"/>
  <c r="E13" i="24"/>
  <c r="K13" i="24"/>
  <c r="G26" i="24"/>
  <c r="I26" i="24"/>
  <c r="G33" i="24"/>
  <c r="I33" i="24"/>
</calcChain>
</file>

<file path=xl/comments1.xml><?xml version="1.0" encoding="utf-8"?>
<comments xmlns="http://schemas.openxmlformats.org/spreadsheetml/2006/main">
  <authors>
    <author>Krishna Mohan</author>
  </authors>
  <commentList>
    <comment ref="L4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Extended upto 4th MYT for old stations as additional capitalisation allowed during the Control Period</t>
        </r>
      </text>
    </comment>
  </commentList>
</comments>
</file>

<file path=xl/comments2.xml><?xml version="1.0" encoding="utf-8"?>
<comments xmlns="http://schemas.openxmlformats.org/spreadsheetml/2006/main">
  <authors>
    <author>Krishna Mohan</author>
  </authors>
  <commentList>
    <comment ref="J4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As submitted in F13</t>
        </r>
      </text>
    </comment>
    <comment ref="J23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As submitted in F13</t>
        </r>
      </text>
    </comment>
  </commentList>
</comments>
</file>

<file path=xl/comments3.xml><?xml version="1.0" encoding="utf-8"?>
<comments xmlns="http://schemas.openxmlformats.org/spreadsheetml/2006/main">
  <authors>
    <author>Krishna Mohan</author>
  </authors>
  <commentList>
    <comment ref="C4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As approved in Case No. 180 of 2020</t>
        </r>
      </text>
    </comment>
    <comment ref="C7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As approved in Case No. 180 of 2020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As approved in Case No. 180 of 2020</t>
        </r>
      </text>
    </comment>
  </commentList>
</comments>
</file>

<file path=xl/comments4.xml><?xml version="1.0" encoding="utf-8"?>
<comments xmlns="http://schemas.openxmlformats.org/spreadsheetml/2006/main">
  <authors>
    <author>Krishna Mohan</author>
  </authors>
  <commentList>
    <comment ref="Z24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Page 8/9 of Account Statement</t>
        </r>
      </text>
    </comment>
    <comment ref="Z33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Page 8/9 of Accout Statement</t>
        </r>
      </text>
    </comment>
    <comment ref="Z39" authorId="0" shapeId="0">
      <text>
        <r>
          <rPr>
            <b/>
            <sz val="9"/>
            <color indexed="81"/>
            <rFont val="Tahoma"/>
            <family val="2"/>
          </rPr>
          <t>Krishna Mohan:</t>
        </r>
        <r>
          <rPr>
            <sz val="9"/>
            <color indexed="81"/>
            <rFont val="Tahoma"/>
            <family val="2"/>
          </rPr>
          <t xml:space="preserve">
Page 11/12 of Accout Statement</t>
        </r>
      </text>
    </comment>
  </commentList>
</comments>
</file>

<file path=xl/sharedStrings.xml><?xml version="1.0" encoding="utf-8"?>
<sst xmlns="http://schemas.openxmlformats.org/spreadsheetml/2006/main" count="4580" uniqueCount="479">
  <si>
    <t>Maharasthra State Power Generation Company Limited</t>
  </si>
  <si>
    <t>Case No. 227 of 2022</t>
  </si>
  <si>
    <t>(i) Final true-up for FY 2019-20</t>
  </si>
  <si>
    <t>(ii) Final true-up for FY 2020-21</t>
  </si>
  <si>
    <t>(iii) Final true-up for FY 2021-22</t>
  </si>
  <si>
    <t>(iv) Provisional true-up for FY 2022-23</t>
  </si>
  <si>
    <t>(v) Revised Tariff for FY 2023-24 &amp; FY 2024-25</t>
  </si>
  <si>
    <t>(vi) Provisional Tariff for Bhusawal Unit 6</t>
  </si>
  <si>
    <t>Khaperkheda Unit 5</t>
  </si>
  <si>
    <t>Particulars</t>
  </si>
  <si>
    <t>Units</t>
  </si>
  <si>
    <t>FY 2017-18</t>
  </si>
  <si>
    <t>FY 2018-19</t>
  </si>
  <si>
    <t>Incremental capital cost</t>
  </si>
  <si>
    <t>Rs. Crore</t>
  </si>
  <si>
    <t>Debt</t>
  </si>
  <si>
    <t>%</t>
  </si>
  <si>
    <t>Equity</t>
  </si>
  <si>
    <t>Opening loan</t>
  </si>
  <si>
    <t>Repayment</t>
  </si>
  <si>
    <t>Closing loan</t>
  </si>
  <si>
    <t>Interest rate</t>
  </si>
  <si>
    <t>Incremental AFC</t>
  </si>
  <si>
    <t>Interest</t>
  </si>
  <si>
    <t>Depreciation</t>
  </si>
  <si>
    <t>RoE</t>
  </si>
  <si>
    <t>IoWC</t>
  </si>
  <si>
    <t>Total</t>
  </si>
  <si>
    <t>Actual Availability</t>
  </si>
  <si>
    <t>Target Availability</t>
  </si>
  <si>
    <t>AFC allowable</t>
  </si>
  <si>
    <t>FY 2019-20</t>
  </si>
  <si>
    <t>FY 2020-21</t>
  </si>
  <si>
    <t>FY 2021-22</t>
  </si>
  <si>
    <t>FY 2022-23</t>
  </si>
  <si>
    <t>FY 2023-24</t>
  </si>
  <si>
    <t>Carrying cost</t>
  </si>
  <si>
    <t>Sub-total</t>
  </si>
  <si>
    <t>Total amount</t>
  </si>
  <si>
    <t>O&amp;M expenses of Uran</t>
  </si>
  <si>
    <t>Incremental O&amp;M</t>
  </si>
  <si>
    <t>Incremental IoWC</t>
  </si>
  <si>
    <t>O&amp;M expenses of Bhusawal &amp; Koradi</t>
  </si>
  <si>
    <t>Bhusawal</t>
  </si>
  <si>
    <t>Koradi</t>
  </si>
  <si>
    <t>Incremental O&amp;M allowable</t>
  </si>
  <si>
    <t>Hydro depreciation</t>
  </si>
  <si>
    <t>Incremental depreciation</t>
  </si>
  <si>
    <t>Interest on loan</t>
  </si>
  <si>
    <t>Incremental IoL</t>
  </si>
  <si>
    <t>Impact of Finalisation of LD amount in case of Bhusawal 4-5</t>
  </si>
  <si>
    <t>Capital Cost Approved</t>
  </si>
  <si>
    <t>Rs Crore</t>
  </si>
  <si>
    <t>Capital Cost to be approved</t>
  </si>
  <si>
    <t>Additional Capital cost to be allowed</t>
  </si>
  <si>
    <t>Approved D/E Ratio</t>
  </si>
  <si>
    <t xml:space="preserve">Loan </t>
  </si>
  <si>
    <t xml:space="preserve">Equity </t>
  </si>
  <si>
    <t>CoD</t>
  </si>
  <si>
    <t>Bhusawal 4-5</t>
  </si>
  <si>
    <t xml:space="preserve">Financial Impact </t>
  </si>
  <si>
    <t>Days</t>
  </si>
  <si>
    <t xml:space="preserve">Interest on Loan </t>
  </si>
  <si>
    <t xml:space="preserve">Opening Loan </t>
  </si>
  <si>
    <t>Loan Repayment</t>
  </si>
  <si>
    <t xml:space="preserve">Closing Loan </t>
  </si>
  <si>
    <t xml:space="preserve">Average Loan </t>
  </si>
  <si>
    <t>Interest Rate</t>
  </si>
  <si>
    <t xml:space="preserve">Opening Equity </t>
  </si>
  <si>
    <t>Rate of ROE</t>
  </si>
  <si>
    <t>ROE</t>
  </si>
  <si>
    <t xml:space="preserve">Depreciation </t>
  </si>
  <si>
    <t>Addition to GFA</t>
  </si>
  <si>
    <t xml:space="preserve">Depreciation rate on Plant and Mahinery </t>
  </si>
  <si>
    <t xml:space="preserve">Interest on Working Capital </t>
  </si>
  <si>
    <t>Addition in Recievable for 2 months</t>
  </si>
  <si>
    <t>Rate of Interest</t>
  </si>
  <si>
    <t>IOWC</t>
  </si>
  <si>
    <t>Additional ARR to be allowed</t>
  </si>
  <si>
    <t>ARR for subsequent years computed in ARR for years from FY 2019-20 onwards</t>
  </si>
  <si>
    <t xml:space="preserve">Normative Availability </t>
  </si>
  <si>
    <t xml:space="preserve">Actual Availability </t>
  </si>
  <si>
    <t>Amount to be recovered</t>
  </si>
  <si>
    <t xml:space="preserve">Carrying Cost </t>
  </si>
  <si>
    <t>FY14</t>
  </si>
  <si>
    <t>FY15</t>
  </si>
  <si>
    <t>FY16</t>
  </si>
  <si>
    <t>FY17</t>
  </si>
  <si>
    <t>FY18</t>
  </si>
  <si>
    <t>FY19</t>
  </si>
  <si>
    <t>FY20</t>
  </si>
  <si>
    <t>FY21</t>
  </si>
  <si>
    <t>FY22</t>
  </si>
  <si>
    <t>FY23</t>
  </si>
  <si>
    <t>FY24</t>
  </si>
  <si>
    <t>opening Amount</t>
  </si>
  <si>
    <t>Addition during the year</t>
  </si>
  <si>
    <t>Total Amount</t>
  </si>
  <si>
    <t>Total Amount allowable</t>
  </si>
  <si>
    <t>Impact of Finalisation of LD amount in case of Koradi 8-10</t>
  </si>
  <si>
    <t>Impact of discharge of undischarge liabilities  in case of Koradi 8-10</t>
  </si>
  <si>
    <t>FY</t>
  </si>
  <si>
    <t>FY 18</t>
  </si>
  <si>
    <t>FY 19</t>
  </si>
  <si>
    <t>FY 20</t>
  </si>
  <si>
    <t>FY 21</t>
  </si>
  <si>
    <t>FY 22</t>
  </si>
  <si>
    <t>FY 23</t>
  </si>
  <si>
    <t>Remark</t>
  </si>
  <si>
    <t>Discharge of UDL</t>
  </si>
  <si>
    <t>Impact of discharge UDL on capitalisation from FY 19-20 considered in respective years sheet</t>
  </si>
  <si>
    <t>Koradi 8-10</t>
  </si>
  <si>
    <t>GFA</t>
  </si>
  <si>
    <t>GFA Opening</t>
  </si>
  <si>
    <t>Addition</t>
  </si>
  <si>
    <t>GFA Closing balance</t>
  </si>
  <si>
    <t>Addition of loan</t>
  </si>
  <si>
    <t>Closing</t>
  </si>
  <si>
    <t>Average GFA</t>
  </si>
  <si>
    <t>Total Amount allowed</t>
  </si>
  <si>
    <t>Impact of discharge of undischarge liabilities  in case of Chandrapur 8-9</t>
  </si>
  <si>
    <t>FY 17</t>
  </si>
  <si>
    <t>Chandrapur 8-9</t>
  </si>
  <si>
    <t>Total Amount Claimed</t>
  </si>
  <si>
    <t>Impact of discharge of undischarge liabilities  in case of Parli 8</t>
  </si>
  <si>
    <t>Parli 8</t>
  </si>
  <si>
    <t>Gross Fixed Assets (Rs. Crore)</t>
  </si>
  <si>
    <t>FY 2024-25</t>
  </si>
  <si>
    <t>Opening GFA</t>
  </si>
  <si>
    <t>Retirement</t>
  </si>
  <si>
    <t>Closing GFA</t>
  </si>
  <si>
    <t>Claimed</t>
  </si>
  <si>
    <t>Allowable</t>
  </si>
  <si>
    <t>Land &amp; Rights</t>
  </si>
  <si>
    <t>Buildings</t>
  </si>
  <si>
    <t>Cooling Towers and Circulating Water Systems</t>
  </si>
  <si>
    <t>Hydraulic works</t>
  </si>
  <si>
    <t>Other &amp; Civil work</t>
  </si>
  <si>
    <t>Plant &amp; Machinery</t>
  </si>
  <si>
    <t>Batteries</t>
  </si>
  <si>
    <t>Air Conditioning</t>
  </si>
  <si>
    <t>Lines &amp; cable Network</t>
  </si>
  <si>
    <t>Vehicles</t>
  </si>
  <si>
    <t>Furniture &amp; Fixtures</t>
  </si>
  <si>
    <t>Office Equipment</t>
  </si>
  <si>
    <t>Communication Equipments</t>
  </si>
  <si>
    <t>I.T. Equipment</t>
  </si>
  <si>
    <t>Software</t>
  </si>
  <si>
    <t>Intangibles</t>
  </si>
  <si>
    <t>RIGHT TO USE OF KGSC LEASE ASSET STAGE I &amp; II</t>
  </si>
  <si>
    <t>Chandrapur</t>
  </si>
  <si>
    <t>Khaperkheda</t>
  </si>
  <si>
    <t>Nashik</t>
  </si>
  <si>
    <t>Parli</t>
  </si>
  <si>
    <t>Uran</t>
  </si>
  <si>
    <t>Paras Units 3&amp;4</t>
  </si>
  <si>
    <t>Parli Units 6&amp;7</t>
  </si>
  <si>
    <t>Bhusawal Units 4&amp;5</t>
  </si>
  <si>
    <t>Koradi Units 8-10</t>
  </si>
  <si>
    <t>Chandrapur Units 8&amp;9</t>
  </si>
  <si>
    <t>Parli Unit 8</t>
  </si>
  <si>
    <t>Hydro</t>
  </si>
  <si>
    <t>Total MSPGCL</t>
  </si>
  <si>
    <t>Interest on loan and finance charges for FY 2019-20</t>
  </si>
  <si>
    <t>(Rs. Crore)</t>
  </si>
  <si>
    <t>Interest on loan and finance charges for FY 2020-21</t>
  </si>
  <si>
    <t>Interest on loan and finance charges for FY 2021-22</t>
  </si>
  <si>
    <t>Interest on loan and finance charges for FY 2022-23</t>
  </si>
  <si>
    <t>Interest on loan and finance charges for FY 2023-24</t>
  </si>
  <si>
    <t>Interest on loan and finance charges for FY 2024-25</t>
  </si>
  <si>
    <t>Station/Unit</t>
  </si>
  <si>
    <t>Approved in MTR</t>
  </si>
  <si>
    <t>Approved in MYT</t>
  </si>
  <si>
    <t>Interest expenses</t>
  </si>
  <si>
    <t>Finance charges</t>
  </si>
  <si>
    <t>Allowable (FY 2019-20)</t>
  </si>
  <si>
    <t>Allowable (FY 2020-21)</t>
  </si>
  <si>
    <t>Allowable (FY 2021-22)</t>
  </si>
  <si>
    <t>Allowable (FY 2022-23)</t>
  </si>
  <si>
    <t>Allowable (FY 2023-24)</t>
  </si>
  <si>
    <t>Allowable (FY 2024-25)</t>
  </si>
  <si>
    <t>Opening Loan</t>
  </si>
  <si>
    <t>Closing Loan</t>
  </si>
  <si>
    <t>IoL</t>
  </si>
  <si>
    <t>FC</t>
  </si>
  <si>
    <t>Rate of Interst</t>
  </si>
  <si>
    <t>Koyna</t>
  </si>
  <si>
    <t>Bhira TR</t>
  </si>
  <si>
    <t>Tillari</t>
  </si>
  <si>
    <t>SHP</t>
  </si>
  <si>
    <t>Claimed (FY 2019-20)</t>
  </si>
  <si>
    <t>Claimed (FY 2020-21)</t>
  </si>
  <si>
    <t>Claimed (FY 2021-22)</t>
  </si>
  <si>
    <t>Claimed (FY 2022-23)</t>
  </si>
  <si>
    <t>Claimed (FY 2023-24)</t>
  </si>
  <si>
    <t>Claimed (FY 2024-25)</t>
  </si>
  <si>
    <t>Return on Equity</t>
  </si>
  <si>
    <t>Opening Equity</t>
  </si>
  <si>
    <t>Closing Equity</t>
  </si>
  <si>
    <t>Rate of RoE</t>
  </si>
  <si>
    <t>Means of finance for additional capitalisation for FY 2019-20</t>
  </si>
  <si>
    <t>Means of finance for additional capitalisation for FY 2020-21</t>
  </si>
  <si>
    <t>Means of finance for additional capitalisation for FY 2021-22</t>
  </si>
  <si>
    <t>Means of finance for additional capitalisation for FY 2022-23</t>
  </si>
  <si>
    <t>Means of finance for additional capitalisation for FY 2023-24</t>
  </si>
  <si>
    <t>Means of finance for additional capitalisation for FY 2024-25</t>
  </si>
  <si>
    <t>Additional capitalisation</t>
  </si>
  <si>
    <t>Debt addition</t>
  </si>
  <si>
    <t>Equity addition</t>
  </si>
  <si>
    <t>Debt + Equity</t>
  </si>
  <si>
    <t>Debt addition as per Form 6</t>
  </si>
  <si>
    <t>Equity addition as per Form 7</t>
  </si>
  <si>
    <t>Rate of RoE for FY 2020-21</t>
  </si>
  <si>
    <t>Base rate</t>
  </si>
  <si>
    <t>Incremental ramp rate achieved over and above 1% per minute</t>
  </si>
  <si>
    <t>Additional rate of RoE for ramp rate</t>
  </si>
  <si>
    <t>Mean Time Between Failure</t>
  </si>
  <si>
    <t>Additional rate of RoE for MTBF</t>
  </si>
  <si>
    <t>Additional rate of RoE</t>
  </si>
  <si>
    <t>Post-tax rate of RoE</t>
  </si>
  <si>
    <t>Tax rate</t>
  </si>
  <si>
    <t>Pre-tax rate of RoE</t>
  </si>
  <si>
    <t>Rate of RoE for FY 2021-22</t>
  </si>
  <si>
    <t>Paras Units 3 &amp; 4</t>
  </si>
  <si>
    <t>Parli Units 6 &amp; 7</t>
  </si>
  <si>
    <t>Bhusawal Units 4 &amp; 5</t>
  </si>
  <si>
    <t>Koradi Units 8, 9 &amp; 10</t>
  </si>
  <si>
    <t>Chandrapur Units 8 &amp; 9</t>
  </si>
  <si>
    <t>on GFA</t>
  </si>
  <si>
    <t>HO</t>
  </si>
  <si>
    <t>Rate of depreciation</t>
  </si>
  <si>
    <t>Balance useful life</t>
  </si>
  <si>
    <t>Total depreciable value</t>
  </si>
  <si>
    <t>Opening Accumulated Depreciation</t>
  </si>
  <si>
    <t>% Depreciation allowed</t>
  </si>
  <si>
    <t>Balance depreciable value</t>
  </si>
  <si>
    <t>O&amp;M expenses for FY 2019-20</t>
  </si>
  <si>
    <t>Actual</t>
  </si>
  <si>
    <t>Normative O&amp;M expenses</t>
  </si>
  <si>
    <t>Pay Revision</t>
  </si>
  <si>
    <t>Water charges</t>
  </si>
  <si>
    <t>Other charges</t>
  </si>
  <si>
    <t>Total O&amp;M expenses</t>
  </si>
  <si>
    <t>O&amp;M expenses</t>
  </si>
  <si>
    <t>Pay Revision arrears</t>
  </si>
  <si>
    <t>O&amp;M expenses for FY 2020-21</t>
  </si>
  <si>
    <t>O&amp;M expenses for FY 2021-22</t>
  </si>
  <si>
    <t>O&amp;M expenses for FY 2022-23</t>
  </si>
  <si>
    <t>O&amp;M expenses for FY 2023-24</t>
  </si>
  <si>
    <t>O&amp;M expenses for FY 2024-25</t>
  </si>
  <si>
    <t>O&amp;M expenses for old Stations for FY 2019-20</t>
  </si>
  <si>
    <t>Trued-up normative O&amp;M expenses for FY 2018-19</t>
  </si>
  <si>
    <t>Escalation factor</t>
  </si>
  <si>
    <t>Normative O&amp;M expenses for FY 2019-20</t>
  </si>
  <si>
    <t>O&amp;M expenses for new Stations for FY 2019-20</t>
  </si>
  <si>
    <t>Norm of O&amp;M expenses for FY 2019-20 (Rs. Lakh/MW)</t>
  </si>
  <si>
    <t>Capacity (MW)</t>
  </si>
  <si>
    <t>O&amp;M expenses for old Stations for FY 2020-21 to FY 2024-25</t>
  </si>
  <si>
    <t>Normative for FY 2019-20</t>
  </si>
  <si>
    <t>Actual for FY 2019-20</t>
  </si>
  <si>
    <t>Efficiency (gain)/loss</t>
  </si>
  <si>
    <t>Share of efficiency (gain)/loss</t>
  </si>
  <si>
    <t>Adjusted O&amp;M after adding/deducting efficiency (gain)/loss</t>
  </si>
  <si>
    <t>Base year expenses</t>
  </si>
  <si>
    <t>(i)</t>
  </si>
  <si>
    <t>(ii)</t>
  </si>
  <si>
    <t>(iii)=(ii)-(i)</t>
  </si>
  <si>
    <t>(iv)</t>
  </si>
  <si>
    <t>(v)</t>
  </si>
  <si>
    <t>(vi)</t>
  </si>
  <si>
    <t>O&amp;M expenses for new Stations for FY 2020-21 to FY 2024-25</t>
  </si>
  <si>
    <t>Norm (Rs. Lakh/MW)</t>
  </si>
  <si>
    <t>Energy Charges for FY 2019-20</t>
  </si>
  <si>
    <t>Availability (%)</t>
  </si>
  <si>
    <t>Plant Load Factor (%)</t>
  </si>
  <si>
    <t>Gross generation (MU)</t>
  </si>
  <si>
    <t>Auxiliary consumption (%)</t>
  </si>
  <si>
    <t>Net generation (MU)</t>
  </si>
  <si>
    <t>SHR (kcal/kWh)</t>
  </si>
  <si>
    <t>SFOC (ml/kWh)</t>
  </si>
  <si>
    <t>GCV of oil (kcal/l)</t>
  </si>
  <si>
    <t>GCV of coal/gas (kcal/unit)</t>
  </si>
  <si>
    <t>Price of oil (Rs./kL)</t>
  </si>
  <si>
    <t>Price of coal/gas (Rs./unit)</t>
  </si>
  <si>
    <t>Specific coal/gas consumption (unit/kWh)</t>
  </si>
  <si>
    <t>EC (Rs./kWh)</t>
  </si>
  <si>
    <t>EC (Rs. Crore)</t>
  </si>
  <si>
    <t>Coal cost</t>
  </si>
  <si>
    <t>Oil cost</t>
  </si>
  <si>
    <t>Energy Charges for FY 2020-21</t>
  </si>
  <si>
    <t>Energy Charges for FY 2021-22</t>
  </si>
  <si>
    <t>Energy Charges for FY 2022-23</t>
  </si>
  <si>
    <t>Estimated</t>
  </si>
  <si>
    <t>Energy Charges for FY 2023-24</t>
  </si>
  <si>
    <t>Target</t>
  </si>
  <si>
    <t>Projected</t>
  </si>
  <si>
    <t>Energy Charges for FY 2024-25</t>
  </si>
  <si>
    <t>Price and GCV of fuels for FY 2019-20</t>
  </si>
  <si>
    <t>Oil Consumption (kL)</t>
  </si>
  <si>
    <t>Oil GCV (kcal/l)</t>
  </si>
  <si>
    <t>Oil price (kcal/l)</t>
  </si>
  <si>
    <t>Coal Consumption (MT)</t>
  </si>
  <si>
    <t>Coal GCV (kcal/kg)</t>
  </si>
  <si>
    <t>Coal price-actual (Rs./MT)</t>
  </si>
  <si>
    <t>Coal price-allowable (Rs./MT)</t>
  </si>
  <si>
    <t>FO</t>
  </si>
  <si>
    <t>LDO</t>
  </si>
  <si>
    <t>Wtd. Avg.</t>
  </si>
  <si>
    <t>Domestic</t>
  </si>
  <si>
    <t>Imported</t>
  </si>
  <si>
    <t>As received-Domestic</t>
  </si>
  <si>
    <t>As received-Imported</t>
  </si>
  <si>
    <t>As received-Wtd. Avg.</t>
  </si>
  <si>
    <t>As fired</t>
  </si>
  <si>
    <t>Allowable stacking loss</t>
  </si>
  <si>
    <t>For tariff</t>
  </si>
  <si>
    <t>Price and GCV of fuels for FY 2020-21</t>
  </si>
  <si>
    <t>Oil price (Rs./kL)</t>
  </si>
  <si>
    <t>As billed-Domestic</t>
  </si>
  <si>
    <t>As billed-Imported</t>
  </si>
  <si>
    <t>As billed-Wtd. Avg.</t>
  </si>
  <si>
    <t>Max. Allowable GCV loss</t>
  </si>
  <si>
    <t>Allowable GCV loss</t>
  </si>
  <si>
    <t>Price and GCV of fuels for FY 2021-22 (upto 10.10.2021)</t>
  </si>
  <si>
    <t>Price and GCV of fuels for FY 2021-22 (11.10.2021 to 31.03.2022)</t>
  </si>
  <si>
    <t>Price and GCV of fuels for FY 2021-22 (01.01.2021 to 31.03.2022)</t>
  </si>
  <si>
    <t>Oil</t>
  </si>
  <si>
    <t>Coal</t>
  </si>
  <si>
    <t>GCV</t>
  </si>
  <si>
    <t>Price</t>
  </si>
  <si>
    <t>Actual GCV</t>
  </si>
  <si>
    <t>GCV for tariff</t>
  </si>
  <si>
    <t>Actual price</t>
  </si>
  <si>
    <t>Price for tariff</t>
  </si>
  <si>
    <t>Price and GCV of fuels for FY 2022-23</t>
  </si>
  <si>
    <t>Washed</t>
  </si>
  <si>
    <t>As billed-Washed</t>
  </si>
  <si>
    <t>Actual As received-Domestic</t>
  </si>
  <si>
    <t>Actual As received-Imported</t>
  </si>
  <si>
    <t>Actual As received-Washed</t>
  </si>
  <si>
    <t>As received-Washed</t>
  </si>
  <si>
    <t>Interest on Working Capital</t>
  </si>
  <si>
    <t>Actual IoWC for FY 2019-20 true-up in accordance with Regulation 31.6</t>
  </si>
  <si>
    <t>O&amp;M</t>
  </si>
  <si>
    <t>Spares</t>
  </si>
  <si>
    <t>Receivables</t>
  </si>
  <si>
    <t>Less: Payables for fuel</t>
  </si>
  <si>
    <t>Working Capital</t>
  </si>
  <si>
    <t>Legend</t>
  </si>
  <si>
    <t>Value</t>
  </si>
  <si>
    <t>Actual IoWC as per the audited accounts</t>
  </si>
  <si>
    <t>A</t>
  </si>
  <si>
    <t>Actual LPS as per the audited accounts</t>
  </si>
  <si>
    <t>B</t>
  </si>
  <si>
    <t>(Annual) Rate of LPS as per the PPA</t>
  </si>
  <si>
    <t>C</t>
  </si>
  <si>
    <t>Rate of IoWC as per the MYT Regulations, 2015</t>
  </si>
  <si>
    <t>D</t>
  </si>
  <si>
    <t>LPS to be considered for true-up</t>
  </si>
  <si>
    <r>
      <t>E=(B</t>
    </r>
    <r>
      <rPr>
        <sz val="12"/>
        <color theme="1"/>
        <rFont val="Calibri"/>
        <family val="2"/>
      </rPr>
      <t>÷</t>
    </r>
    <r>
      <rPr>
        <sz val="12"/>
        <color theme="1"/>
        <rFont val="Times New Roman"/>
        <family val="1"/>
      </rPr>
      <t>C)xD</t>
    </r>
  </si>
  <si>
    <t>Actual IoWC for true-up in accordance with Regulation 31.6</t>
  </si>
  <si>
    <t>F=A-E, subject to maximum of Zero</t>
  </si>
  <si>
    <t>Actual IoWC for FY 2020-21 true-up in accordance with Regulation 32.6</t>
  </si>
  <si>
    <t>Actual IoWC for true-up in accordance with Regulation 32.6</t>
  </si>
  <si>
    <t>C=A-B, subject to maximum of Zero</t>
  </si>
  <si>
    <t>Actual IoWC for FY 2021-22 true-up in accordance with Regulation 32.6</t>
  </si>
  <si>
    <t>Less:NTI</t>
  </si>
  <si>
    <t>AFC</t>
  </si>
  <si>
    <t>Lease Rent</t>
  </si>
  <si>
    <t>EC</t>
  </si>
  <si>
    <t>ARR</t>
  </si>
  <si>
    <t>Actual revenue from sale of power</t>
  </si>
  <si>
    <t>Approved</t>
  </si>
  <si>
    <t>Hydro tariff</t>
  </si>
  <si>
    <t>AFC for Hydro</t>
  </si>
  <si>
    <t>AFC for Hydro Stations with capacity more than 25 MW</t>
  </si>
  <si>
    <t>AFC for other hydro stations</t>
  </si>
  <si>
    <t>Design Energy</t>
  </si>
  <si>
    <t>MU</t>
  </si>
  <si>
    <t>Auxiliary Energy Consumption</t>
  </si>
  <si>
    <t>Capacity Charge</t>
  </si>
  <si>
    <t>Energy Charge Rate</t>
  </si>
  <si>
    <t>Rs./kWh</t>
  </si>
  <si>
    <t>AFC reduction for FY 2019-20</t>
  </si>
  <si>
    <t>Total AFC</t>
  </si>
  <si>
    <t>Less: water charges</t>
  </si>
  <si>
    <t>Total AFC minus water charges</t>
  </si>
  <si>
    <t>AFC Reduction</t>
  </si>
  <si>
    <t>Reduced AFC</t>
  </si>
  <si>
    <t>Reduced AFC plus water charges</t>
  </si>
  <si>
    <t>AFC reduction for FY 2020-21</t>
  </si>
  <si>
    <t>Actual Availability (%)</t>
  </si>
  <si>
    <t>Ceiling AFC for recovery (Rs. Crore)</t>
  </si>
  <si>
    <t>AFC recoverable without  adjustment as per Regulation 50.4 (Rs. Crore)</t>
  </si>
  <si>
    <t>Shortfall in recovery during off peak hours (Rs. Crore)</t>
  </si>
  <si>
    <t>Notional overrecovery in peak hours (Rs. Crore)</t>
  </si>
  <si>
    <t>Adjustment as per Regulation 50.4 (Rs. Crore)</t>
  </si>
  <si>
    <t>High Demand-Peak</t>
  </si>
  <si>
    <t>High Demand-Off Peak</t>
  </si>
  <si>
    <t>Low Demand-Peak</t>
  </si>
  <si>
    <t>Low Demand-Off Peak</t>
  </si>
  <si>
    <t>AFC reduction for FY 2021-22</t>
  </si>
  <si>
    <t>AFC reduction for FY 2022-23</t>
  </si>
  <si>
    <t>Estimated Availability</t>
  </si>
  <si>
    <t>AFC reduction for FY 2023-24</t>
  </si>
  <si>
    <t>Projected Availability</t>
  </si>
  <si>
    <t>AFC reduction for FY 2024-25</t>
  </si>
  <si>
    <t>Sharing of AUX for FY 2019-20 (Rs. Crore)</t>
  </si>
  <si>
    <t>Actual Gross Generation</t>
  </si>
  <si>
    <t>Normative AEC</t>
  </si>
  <si>
    <t>Actual AEC</t>
  </si>
  <si>
    <t>Lesser/ (Additional) sale</t>
  </si>
  <si>
    <t>Rate of Energy Charge</t>
  </si>
  <si>
    <t>Revenue Loss</t>
  </si>
  <si>
    <t>Sharing of AUX for FY 2020-21 (Rs. Crore)</t>
  </si>
  <si>
    <t>Sharing of AUX for FY 2021-22 (Rs. Crore)</t>
  </si>
  <si>
    <t>Lesser/ (Additional) energy sale</t>
  </si>
  <si>
    <t>Summary of true-up for FY 2019-20</t>
  </si>
  <si>
    <t>Summary of true-up for FY 2020-21</t>
  </si>
  <si>
    <t>Summary of true-up for FY 2021-22</t>
  </si>
  <si>
    <t>Normative</t>
  </si>
  <si>
    <t>Efficiency (Gain)/Loss</t>
  </si>
  <si>
    <t>Sharing of efficiency (Gain)/Loss</t>
  </si>
  <si>
    <t>Net entitlement</t>
  </si>
  <si>
    <t>Summary of true-up for FY 2022-23</t>
  </si>
  <si>
    <t>C=B-A</t>
  </si>
  <si>
    <t>D=2/3rd of (Gain);
1/3rd of Loss</t>
  </si>
  <si>
    <t>E=A+D</t>
  </si>
  <si>
    <t>Provisional true-up</t>
  </si>
  <si>
    <t>Expenses side summary</t>
  </si>
  <si>
    <t>Interest on Loan</t>
  </si>
  <si>
    <t>Less: Non-Tariff Income</t>
  </si>
  <si>
    <t>Annual Fixed Charges</t>
  </si>
  <si>
    <t>Income Tax</t>
  </si>
  <si>
    <t>Hydro Lease Rent</t>
  </si>
  <si>
    <t>RSD Charges</t>
  </si>
  <si>
    <t>Energy Charges</t>
  </si>
  <si>
    <t>Aggregate Revenue Requirement</t>
  </si>
  <si>
    <t>Net Revenue Requirement</t>
  </si>
  <si>
    <t>Revenue from sale of power</t>
  </si>
  <si>
    <t>Revenue loss due to higher auxiliary consumption</t>
  </si>
  <si>
    <t>Revenue Gap/(Surplus)</t>
  </si>
  <si>
    <t>Revenue for true-up</t>
  </si>
  <si>
    <t>Revenue Gap/(Surplus) approved in provisional true-up</t>
  </si>
  <si>
    <t>Net Revenue Gap/(Surplus) approved after final true-up</t>
  </si>
  <si>
    <t>Total impact of final true-up for FY 2019-20, FY 2020-21, FY 2021-22 and provisional true-up for FY 2022-23 as approved by the Commission</t>
  </si>
  <si>
    <t>Principal amount</t>
  </si>
  <si>
    <t>Principal amount to be carried forward to FY 2018-19</t>
  </si>
  <si>
    <t>Carrying/(holding) cost</t>
  </si>
  <si>
    <t>Total including carrying cost</t>
  </si>
  <si>
    <t>(iii)</t>
  </si>
  <si>
    <t>(vii)</t>
  </si>
  <si>
    <t>Sum (ii) to (vii)</t>
  </si>
  <si>
    <t>Total Revenue Gap/ (Surplus) approved on final true-up</t>
  </si>
  <si>
    <t>Total Revenue Gap/ (Surplus) approved on provisional  true-up</t>
  </si>
  <si>
    <t>Incremental Revenue Gap/ (Surplus) approved on final true-up</t>
  </si>
  <si>
    <t>Revenue Gap/ (Surplus) approved on final true-up</t>
  </si>
  <si>
    <t>Revenue Gap/ (Surplus) approved on provisional true-up</t>
  </si>
  <si>
    <t>Total gap/(surplus) upto FY 2022-23</t>
  </si>
  <si>
    <t>Revision of capital cost of Bhusawal Units 4&amp;5</t>
  </si>
  <si>
    <t>Revision of capital cost of Koradi Units 8-10</t>
  </si>
  <si>
    <t>Revision of capital cost of Chandrapur Units 8&amp;9</t>
  </si>
  <si>
    <t>Revision of capital cost of Parli Unit 8</t>
  </si>
  <si>
    <t>Final true-up for FY 2019-20</t>
  </si>
  <si>
    <t>Final true-up for FY 2020-21</t>
  </si>
  <si>
    <t>Final true-up for FY 2021-22</t>
  </si>
  <si>
    <t>Provisional true-up for FY 2022-23</t>
  </si>
  <si>
    <t>Thermal tariff for FY 2023-24</t>
  </si>
  <si>
    <t>ECR</t>
  </si>
  <si>
    <t>Thermal tariff for FY 2024-25</t>
  </si>
  <si>
    <t>A&amp;G expenses for Solar AG feeder for FY 2019-20 to FY 2021-22</t>
  </si>
  <si>
    <t>Impact of Review of MYT Order on true-up for FY 2017-18 and FY 2018-19</t>
  </si>
  <si>
    <t>Service Tax liability claimed by GoMWRD for the period from FY 2009-10 to FY 2014-15</t>
  </si>
  <si>
    <t>Service Tax and GST on lease rent claimed by GoMWRD</t>
  </si>
  <si>
    <t>Change in Law claims related to Coal Tolling arrangement</t>
  </si>
  <si>
    <t>963.187</t>
  </si>
  <si>
    <t>300.720</t>
  </si>
  <si>
    <t>539.160</t>
  </si>
  <si>
    <t>130.310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</si>
</sst>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0.0%"/>
    <numFmt numFmtId="165" formatCode="0.000%"/>
    <numFmt numFmtId="166" formatCode="_(* #,##0.00_);_(* \(#,##0.00\);_(* &quot;-&quot;??_);_(@_)"/>
    <numFmt numFmtId="167" formatCode="0.00000"/>
    <numFmt numFmtId="168" formatCode="0.000"/>
    <numFmt numFmtId="169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Trebuchet MS"/>
      <family val="2"/>
    </font>
    <font>
      <sz val="18"/>
      <color theme="1"/>
      <name val="Trebuchet MS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  <font>
      <sz val="11"/>
      <color theme="0"/>
      <name val="Book Antiqua"/>
      <family val="1"/>
    </font>
    <font>
      <b/>
      <sz val="11"/>
      <color theme="0"/>
      <name val="Book Antiqua"/>
      <family val="1"/>
    </font>
    <font>
      <b/>
      <sz val="11"/>
      <color rgb="FFFF0000"/>
      <name val="Book Antiqua"/>
      <family val="1"/>
    </font>
    <font>
      <b/>
      <sz val="11"/>
      <name val="Book Antiqua"/>
      <family val="1"/>
    </font>
    <font>
      <i/>
      <sz val="11"/>
      <color theme="1"/>
      <name val="Book Antiqua"/>
      <family val="1"/>
    </font>
    <font>
      <sz val="11"/>
      <name val="Book Antiqua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</font>
    <font>
      <sz val="11"/>
      <color theme="1"/>
      <name val="Book Antiqua"/>
      <family val="2"/>
    </font>
  </fonts>
  <fills count="1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0" fillId="0" borderId="0"/>
  </cellStyleXfs>
  <cellXfs count="207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0" xfId="0" applyFont="1"/>
    <xf numFmtId="0" fontId="7" fillId="0" borderId="0" xfId="0" applyFont="1"/>
    <xf numFmtId="2" fontId="7" fillId="0" borderId="0" xfId="0" applyNumberFormat="1" applyFont="1"/>
    <xf numFmtId="2" fontId="6" fillId="0" borderId="0" xfId="0" applyNumberFormat="1" applyFont="1"/>
    <xf numFmtId="164" fontId="7" fillId="4" borderId="0" xfId="0" applyNumberFormat="1" applyFont="1" applyFill="1"/>
    <xf numFmtId="14" fontId="7" fillId="0" borderId="0" xfId="0" applyNumberFormat="1" applyFont="1"/>
    <xf numFmtId="1" fontId="7" fillId="0" borderId="0" xfId="0" applyNumberFormat="1" applyFont="1"/>
    <xf numFmtId="0" fontId="8" fillId="5" borderId="0" xfId="0" applyFont="1" applyFill="1"/>
    <xf numFmtId="10" fontId="7" fillId="4" borderId="0" xfId="2" applyNumberFormat="1" applyFont="1" applyFill="1"/>
    <xf numFmtId="10" fontId="7" fillId="4" borderId="0" xfId="0" applyNumberFormat="1" applyFont="1" applyFill="1"/>
    <xf numFmtId="10" fontId="7" fillId="0" borderId="0" xfId="0" applyNumberFormat="1" applyFont="1"/>
    <xf numFmtId="165" fontId="7" fillId="4" borderId="0" xfId="2" applyNumberFormat="1" applyFont="1" applyFill="1"/>
    <xf numFmtId="0" fontId="6" fillId="6" borderId="0" xfId="0" applyFont="1" applyFill="1"/>
    <xf numFmtId="2" fontId="6" fillId="6" borderId="0" xfId="0" applyNumberFormat="1" applyFont="1" applyFill="1"/>
    <xf numFmtId="9" fontId="7" fillId="0" borderId="6" xfId="0" applyNumberFormat="1" applyFont="1" applyBorder="1"/>
    <xf numFmtId="9" fontId="7" fillId="4" borderId="0" xfId="2" applyFont="1" applyFill="1"/>
    <xf numFmtId="0" fontId="9" fillId="5" borderId="0" xfId="0" applyFont="1" applyFill="1" applyAlignment="1">
      <alignment horizontal="center"/>
    </xf>
    <xf numFmtId="0" fontId="10" fillId="0" borderId="0" xfId="0" applyFont="1"/>
    <xf numFmtId="0" fontId="7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11" fillId="7" borderId="0" xfId="0" applyFont="1" applyFill="1" applyAlignment="1">
      <alignment horizontal="center"/>
    </xf>
    <xf numFmtId="166" fontId="0" fillId="0" borderId="0" xfId="3" applyFont="1" applyBorder="1"/>
    <xf numFmtId="166" fontId="0" fillId="8" borderId="0" xfId="3" applyFont="1" applyFill="1" applyBorder="1"/>
    <xf numFmtId="0" fontId="12" fillId="8" borderId="0" xfId="0" applyFont="1" applyFill="1"/>
    <xf numFmtId="0" fontId="7" fillId="8" borderId="0" xfId="0" applyFont="1" applyFill="1"/>
    <xf numFmtId="2" fontId="6" fillId="9" borderId="0" xfId="0" applyNumberFormat="1" applyFont="1" applyFill="1"/>
    <xf numFmtId="9" fontId="7" fillId="4" borderId="0" xfId="0" applyNumberFormat="1" applyFont="1" applyFill="1"/>
    <xf numFmtId="0" fontId="8" fillId="5" borderId="7" xfId="0" applyFont="1" applyFill="1" applyBorder="1"/>
    <xf numFmtId="1" fontId="7" fillId="0" borderId="7" xfId="0" applyNumberFormat="1" applyFont="1" applyBorder="1"/>
    <xf numFmtId="43" fontId="7" fillId="0" borderId="0" xfId="1" applyFont="1"/>
    <xf numFmtId="0" fontId="11" fillId="0" borderId="0" xfId="0" applyFont="1"/>
    <xf numFmtId="2" fontId="11" fillId="0" borderId="0" xfId="0" applyNumberFormat="1" applyFont="1"/>
    <xf numFmtId="0" fontId="13" fillId="0" borderId="0" xfId="0" applyFont="1"/>
    <xf numFmtId="0" fontId="8" fillId="5" borderId="1" xfId="0" applyFont="1" applyFill="1" applyBorder="1"/>
    <xf numFmtId="0" fontId="7" fillId="0" borderId="1" xfId="0" applyFont="1" applyBorder="1"/>
    <xf numFmtId="2" fontId="7" fillId="0" borderId="1" xfId="0" applyNumberFormat="1" applyFont="1" applyBorder="1"/>
    <xf numFmtId="0" fontId="6" fillId="0" borderId="1" xfId="0" applyFont="1" applyBorder="1"/>
    <xf numFmtId="2" fontId="6" fillId="6" borderId="1" xfId="0" applyNumberFormat="1" applyFont="1" applyFill="1" applyBorder="1"/>
    <xf numFmtId="166" fontId="7" fillId="0" borderId="0" xfId="3" applyFont="1"/>
    <xf numFmtId="0" fontId="12" fillId="0" borderId="0" xfId="0" applyFont="1"/>
    <xf numFmtId="14" fontId="7" fillId="4" borderId="0" xfId="0" applyNumberFormat="1" applyFont="1" applyFill="1"/>
    <xf numFmtId="2" fontId="13" fillId="0" borderId="0" xfId="0" applyNumberFormat="1" applyFont="1"/>
    <xf numFmtId="10" fontId="7" fillId="0" borderId="0" xfId="2" applyNumberFormat="1" applyFont="1" applyFill="1"/>
    <xf numFmtId="0" fontId="5" fillId="6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5" fillId="11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0" fontId="5" fillId="11" borderId="1" xfId="0" applyFont="1" applyFill="1" applyBorder="1" applyAlignment="1">
      <alignment vertical="center"/>
    </xf>
    <xf numFmtId="0" fontId="5" fillId="12" borderId="1" xfId="0" applyFont="1" applyFill="1" applyBorder="1" applyAlignment="1">
      <alignment vertical="center"/>
    </xf>
    <xf numFmtId="0" fontId="5" fillId="13" borderId="1" xfId="0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2" fontId="5" fillId="6" borderId="1" xfId="0" applyNumberFormat="1" applyFont="1" applyFill="1" applyBorder="1" applyAlignment="1">
      <alignment vertical="center"/>
    </xf>
    <xf numFmtId="2" fontId="5" fillId="3" borderId="1" xfId="0" applyNumberFormat="1" applyFont="1" applyFill="1" applyBorder="1" applyAlignment="1">
      <alignment vertical="center"/>
    </xf>
    <xf numFmtId="2" fontId="5" fillId="10" borderId="1" xfId="0" applyNumberFormat="1" applyFont="1" applyFill="1" applyBorder="1" applyAlignment="1">
      <alignment vertical="center"/>
    </xf>
    <xf numFmtId="2" fontId="5" fillId="11" borderId="1" xfId="0" applyNumberFormat="1" applyFont="1" applyFill="1" applyBorder="1" applyAlignment="1">
      <alignment vertical="center"/>
    </xf>
    <xf numFmtId="2" fontId="5" fillId="12" borderId="1" xfId="0" applyNumberFormat="1" applyFont="1" applyFill="1" applyBorder="1" applyAlignment="1">
      <alignment vertical="center"/>
    </xf>
    <xf numFmtId="2" fontId="5" fillId="13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2" fontId="4" fillId="6" borderId="1" xfId="0" applyNumberFormat="1" applyFont="1" applyFill="1" applyBorder="1" applyAlignment="1">
      <alignment vertical="center"/>
    </xf>
    <xf numFmtId="2" fontId="4" fillId="3" borderId="1" xfId="0" applyNumberFormat="1" applyFont="1" applyFill="1" applyBorder="1" applyAlignment="1">
      <alignment vertical="center"/>
    </xf>
    <xf numFmtId="2" fontId="4" fillId="10" borderId="1" xfId="0" applyNumberFormat="1" applyFont="1" applyFill="1" applyBorder="1" applyAlignment="1">
      <alignment vertical="center"/>
    </xf>
    <xf numFmtId="2" fontId="4" fillId="11" borderId="1" xfId="0" applyNumberFormat="1" applyFont="1" applyFill="1" applyBorder="1" applyAlignment="1">
      <alignment vertical="center"/>
    </xf>
    <xf numFmtId="2" fontId="4" fillId="12" borderId="1" xfId="0" applyNumberFormat="1" applyFont="1" applyFill="1" applyBorder="1" applyAlignment="1">
      <alignment vertical="center"/>
    </xf>
    <xf numFmtId="2" fontId="4" fillId="13" borderId="1" xfId="0" applyNumberFormat="1" applyFont="1" applyFill="1" applyBorder="1" applyAlignment="1">
      <alignment vertical="center"/>
    </xf>
    <xf numFmtId="2" fontId="5" fillId="0" borderId="0" xfId="0" applyNumberFormat="1" applyFont="1" applyAlignment="1">
      <alignment vertical="center"/>
    </xf>
    <xf numFmtId="2" fontId="14" fillId="6" borderId="1" xfId="0" applyNumberFormat="1" applyFont="1" applyFill="1" applyBorder="1" applyAlignment="1">
      <alignment vertical="center"/>
    </xf>
    <xf numFmtId="2" fontId="15" fillId="6" borderId="1" xfId="0" applyNumberFormat="1" applyFont="1" applyFill="1" applyBorder="1" applyAlignment="1">
      <alignment vertical="center"/>
    </xf>
    <xf numFmtId="2" fontId="5" fillId="6" borderId="0" xfId="0" applyNumberFormat="1" applyFont="1" applyFill="1" applyAlignment="1">
      <alignment vertical="center"/>
    </xf>
    <xf numFmtId="0" fontId="5" fillId="15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vertical="center"/>
    </xf>
    <xf numFmtId="2" fontId="16" fillId="0" borderId="1" xfId="0" applyNumberFormat="1" applyFont="1" applyBorder="1" applyAlignment="1">
      <alignment vertical="center"/>
    </xf>
    <xf numFmtId="10" fontId="14" fillId="0" borderId="1" xfId="2" applyNumberFormat="1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right" vertical="center"/>
    </xf>
    <xf numFmtId="10" fontId="5" fillId="0" borderId="1" xfId="2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9" fontId="5" fillId="0" borderId="0" xfId="2" applyFont="1" applyAlignment="1">
      <alignment vertical="center"/>
    </xf>
    <xf numFmtId="9" fontId="5" fillId="0" borderId="0" xfId="0" applyNumberFormat="1" applyFont="1" applyAlignment="1">
      <alignment vertical="center"/>
    </xf>
    <xf numFmtId="167" fontId="5" fillId="0" borderId="0" xfId="0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10" fontId="5" fillId="0" borderId="0" xfId="2" applyNumberFormat="1" applyFont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 wrapText="1"/>
    </xf>
    <xf numFmtId="10" fontId="5" fillId="0" borderId="1" xfId="2" applyNumberFormat="1" applyFont="1" applyBorder="1" applyAlignment="1">
      <alignment horizontal="right" vertical="center"/>
    </xf>
    <xf numFmtId="2" fontId="5" fillId="0" borderId="1" xfId="2" applyNumberFormat="1" applyFont="1" applyBorder="1" applyAlignment="1">
      <alignment horizontal="right" vertical="center"/>
    </xf>
    <xf numFmtId="10" fontId="5" fillId="0" borderId="1" xfId="0" applyNumberFormat="1" applyFont="1" applyBorder="1" applyAlignment="1">
      <alignment vertical="center" wrapText="1"/>
    </xf>
    <xf numFmtId="2" fontId="4" fillId="0" borderId="1" xfId="0" applyNumberFormat="1" applyFont="1" applyBorder="1" applyAlignment="1">
      <alignment horizontal="center" vertical="center"/>
    </xf>
    <xf numFmtId="10" fontId="4" fillId="0" borderId="1" xfId="2" applyNumberFormat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3" borderId="2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vertical="center"/>
    </xf>
    <xf numFmtId="168" fontId="5" fillId="0" borderId="1" xfId="0" applyNumberFormat="1" applyFont="1" applyBorder="1" applyAlignment="1">
      <alignment horizontal="right" vertical="center"/>
    </xf>
    <xf numFmtId="10" fontId="16" fillId="0" borderId="1" xfId="2" applyNumberFormat="1" applyFont="1" applyBorder="1" applyAlignment="1">
      <alignment horizontal="center" vertical="center"/>
    </xf>
    <xf numFmtId="10" fontId="4" fillId="0" borderId="1" xfId="2" applyNumberFormat="1" applyFont="1" applyBorder="1" applyAlignment="1">
      <alignment horizontal="center" vertical="center"/>
    </xf>
    <xf numFmtId="2" fontId="4" fillId="0" borderId="0" xfId="0" applyNumberFormat="1" applyFont="1" applyAlignment="1">
      <alignment vertical="center"/>
    </xf>
    <xf numFmtId="169" fontId="5" fillId="0" borderId="0" xfId="0" applyNumberFormat="1" applyFont="1" applyAlignment="1">
      <alignment vertical="center"/>
    </xf>
    <xf numFmtId="2" fontId="16" fillId="0" borderId="1" xfId="0" applyNumberFormat="1" applyFont="1" applyBorder="1" applyAlignment="1">
      <alignment horizontal="right" vertical="center"/>
    </xf>
    <xf numFmtId="168" fontId="5" fillId="0" borderId="1" xfId="0" applyNumberFormat="1" applyFont="1" applyBorder="1" applyAlignment="1">
      <alignment vertical="center"/>
    </xf>
    <xf numFmtId="1" fontId="5" fillId="0" borderId="0" xfId="0" applyNumberFormat="1" applyFont="1" applyAlignment="1">
      <alignment vertical="center"/>
    </xf>
    <xf numFmtId="2" fontId="1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right" vertical="center"/>
    </xf>
    <xf numFmtId="2" fontId="5" fillId="0" borderId="0" xfId="0" applyNumberFormat="1" applyFont="1" applyAlignment="1">
      <alignment horizontal="right" vertical="center"/>
    </xf>
    <xf numFmtId="0" fontId="5" fillId="0" borderId="1" xfId="4" applyFont="1" applyBorder="1" applyAlignment="1">
      <alignment vertical="center"/>
    </xf>
    <xf numFmtId="0" fontId="5" fillId="0" borderId="1" xfId="4" applyFont="1" applyBorder="1" applyAlignment="1">
      <alignment vertical="center" wrapText="1"/>
    </xf>
    <xf numFmtId="0" fontId="5" fillId="0" borderId="1" xfId="4" applyFont="1" applyBorder="1" applyAlignment="1">
      <alignment horizontal="left" vertical="center" indent="1"/>
    </xf>
    <xf numFmtId="168" fontId="5" fillId="0" borderId="1" xfId="0" applyNumberFormat="1" applyFont="1" applyBorder="1" applyAlignment="1">
      <alignment horizontal="center" vertical="center"/>
    </xf>
    <xf numFmtId="10" fontId="4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2" fontId="5" fillId="0" borderId="1" xfId="0" applyNumberFormat="1" applyFont="1" applyBorder="1" applyAlignment="1">
      <alignment horizontal="right" vertical="center" wrapText="1"/>
    </xf>
    <xf numFmtId="0" fontId="4" fillId="3" borderId="1" xfId="0" applyFont="1" applyFill="1" applyBorder="1" applyAlignment="1">
      <alignment vertical="center" wrapText="1"/>
    </xf>
    <xf numFmtId="2" fontId="5" fillId="4" borderId="0" xfId="0" applyNumberFormat="1" applyFont="1" applyFill="1" applyAlignment="1">
      <alignment vertical="center"/>
    </xf>
    <xf numFmtId="10" fontId="5" fillId="4" borderId="1" xfId="2" applyNumberFormat="1" applyFont="1" applyFill="1" applyBorder="1" applyAlignment="1">
      <alignment vertical="center"/>
    </xf>
    <xf numFmtId="164" fontId="5" fillId="4" borderId="1" xfId="2" applyNumberFormat="1" applyFont="1" applyFill="1" applyBorder="1" applyAlignment="1">
      <alignment vertical="center"/>
    </xf>
    <xf numFmtId="2" fontId="14" fillId="10" borderId="1" xfId="0" applyNumberFormat="1" applyFont="1" applyFill="1" applyBorder="1" applyAlignment="1">
      <alignment vertical="center"/>
    </xf>
    <xf numFmtId="43" fontId="5" fillId="0" borderId="0" xfId="0" applyNumberFormat="1" applyFont="1" applyAlignment="1">
      <alignment vertical="center"/>
    </xf>
    <xf numFmtId="10" fontId="5" fillId="0" borderId="0" xfId="0" applyNumberFormat="1" applyFont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4" fillId="14" borderId="2" xfId="0" applyFont="1" applyFill="1" applyBorder="1" applyAlignment="1">
      <alignment horizontal="center" vertical="center"/>
    </xf>
    <xf numFmtId="0" fontId="4" fillId="14" borderId="9" xfId="0" applyFont="1" applyFill="1" applyBorder="1" applyAlignment="1">
      <alignment horizontal="center" vertical="center"/>
    </xf>
    <xf numFmtId="0" fontId="4" fillId="14" borderId="5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horizontal="center" vertical="center"/>
    </xf>
    <xf numFmtId="0" fontId="4" fillId="12" borderId="8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 wrapText="1"/>
    </xf>
    <xf numFmtId="0" fontId="4" fillId="14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2" xfId="4" applyFont="1" applyFill="1" applyBorder="1" applyAlignment="1">
      <alignment horizontal="center" vertical="center"/>
    </xf>
    <xf numFmtId="0" fontId="4" fillId="3" borderId="5" xfId="4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</cellXfs>
  <cellStyles count="5">
    <cellStyle name="Comma" xfId="1" builtinId="3"/>
    <cellStyle name="Comma 2 2" xfId="3"/>
    <cellStyle name="Normal" xfId="0" builtinId="0"/>
    <cellStyle name="Normal 159" xfId="4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7.xml"/><Relationship Id="rId47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5.xml"/><Relationship Id="rId55" Type="http://schemas.openxmlformats.org/officeDocument/2006/relationships/externalLink" Target="externalLinks/externalLink3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4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externalLink" Target="externalLinks/externalLink20.xml"/><Relationship Id="rId53" Type="http://schemas.openxmlformats.org/officeDocument/2006/relationships/externalLink" Target="externalLinks/externalLink28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8.xml"/><Relationship Id="rId48" Type="http://schemas.openxmlformats.org/officeDocument/2006/relationships/externalLink" Target="externalLinks/externalLink23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externalLink" Target="externalLinks/externalLink21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6.xml"/><Relationship Id="rId54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49" Type="http://schemas.openxmlformats.org/officeDocument/2006/relationships/externalLink" Target="externalLinks/externalLink24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6.xml"/><Relationship Id="rId44" Type="http://schemas.openxmlformats.org/officeDocument/2006/relationships/externalLink" Target="externalLinks/externalLink19.xml"/><Relationship Id="rId52" Type="http://schemas.openxmlformats.org/officeDocument/2006/relationships/externalLink" Target="externalLinks/externalLink2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h1\EMAIL\Performance\PERFORMANCE\ocm\Yearly_perf\OCMJAN20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:\D:\F:\F:\C:\C:\MGPGADRCDP003\RCD-Share\Performance\PERFORMANCE\ocm\Yearly_perf\OCMJAN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:\D:\F:\F:\C:\C:\C:\Performance\PERFORMANCE\ocm\Yearly_perf\OCMJAN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nt\Tariff%20Petition_MO\02%20Capex\FY13\02%20May%202012\Capex%20Report%20May_201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41000300\Local%20Settings\Temp\notes6030C8\O&amp;M%20Pres%20111011\2-%20Mum%20Supply%20Divisional%20WBS%20Capex09-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philips\xlsjjp\mseb%20Jan%20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ack'(A)\&#45817;&#51652;-A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21\shared%20doc\ARR%202.6%20REV\Performance\PERFORMANCE\ocm\Yearly_perf\OCMJAN200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Desktop\For%20Cash%20Flow\Copy%20of%206301%208%20EURO%20NOTES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Desktop\SEP-08\FOR%20CASHFLOW\INVESTMENT%20SCHEDULE%20SEP%200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REVENUE%20SCHEDULE%20SEP%202009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erformance\PERFORMANCE\ocm\Yearly_perf\OCMJAN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102%20REVENUE%20SCHEDULE%20MARCH%2010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nt\regulatorydata\C%20Backup\backup\d\regulation\APR%20FY%2009\APR%20FY10\FY10%20ARR%20RR%2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COST%20OF%20POWER%20PURCHASED%20MARCH%201O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%20COST%20OF%20POWER%20PURCHASED%20MARCH%2009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nt\regulatorydata\terence\TPCL08\EUR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200.2%20INVESTMENTS%20MASTER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Desktop\For%20Cash%20Flow\Copy%20of%206301%2012%20FCCB%20BORROWING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JF%205200.1%20INVESTMENT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REVENUE%20SCHEDULE%20FOR%20MARCH%202008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nt\Tariff%20Petition_MO\WIN98\TEMP\REPORT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04;&#50689;&#44428;\C\WIN98\TEMP\REPORT0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35.daum.net/WIN98/TEMP/REPORT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2EF26C4\RIM%20%20list%20as%20on%2001.11.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1\OFFSHORE\USERS\NARESH\FIN\HALFYEAR\CONB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7.1.117\RCD-Share\Performance\PERFORMANCE\ocm\Yearly_perf\OCMJAN20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erformance/PERFORMANCE/ocm/Yearly_perf/OCMJAN20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7.1.117\RCD-Share\RRK%20PEN%20DATA_28.01.2008\Performance\PERFORMANCE\ocm\Yearly_perf\OCMJAN200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RK%20PEN%20DATA_28.01.2008/Performance/PERFORMANCE/ocm/Yearly_perf/OCMJAN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2000-01"/>
      <sheetName val="04REL"/>
      <sheetName val="Inputs &amp; Assumptions"/>
      <sheetName val="Daily_input"/>
      <sheetName val="Daily_report"/>
      <sheetName val="Titl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Table"/>
      <sheetName val="Graph"/>
      <sheetName val="Table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Table"/>
      <sheetName val="Table (2)"/>
      <sheetName val="Final"/>
      <sheetName val="Graph"/>
    </sheetNames>
    <sheetDataSet>
      <sheetData sheetId="0" refreshError="1"/>
      <sheetData sheetId="1" refreshError="1">
        <row r="1">
          <cell r="E1" t="str">
            <v>2- Mum Supply Divisional WBS Capex (01/04/2009 - 31/03/2010)</v>
          </cell>
        </row>
        <row r="2">
          <cell r="G2" t="str">
            <v>Current User</v>
          </cell>
          <cell r="H2" t="str">
            <v>BI41004018</v>
          </cell>
          <cell r="J2" t="str">
            <v>Status of Data</v>
          </cell>
          <cell r="K2" t="str">
            <v>10/10/2011 01:10:28</v>
          </cell>
        </row>
        <row r="6">
          <cell r="F6" t="str">
            <v>Author</v>
          </cell>
          <cell r="G6" t="str">
            <v>TMTEJAST</v>
          </cell>
          <cell r="I6" t="str">
            <v>Last Refreshed</v>
          </cell>
          <cell r="J6" t="str">
            <v>10/10/2011 12:06:17</v>
          </cell>
        </row>
        <row r="7">
          <cell r="F7" t="str">
            <v>Current User</v>
          </cell>
          <cell r="G7" t="str">
            <v>BI41004018</v>
          </cell>
        </row>
        <row r="8">
          <cell r="F8" t="str">
            <v>Last Changed By</v>
          </cell>
          <cell r="G8" t="str">
            <v>TMGURPREET</v>
          </cell>
          <cell r="I8" t="str">
            <v>Changed At</v>
          </cell>
          <cell r="J8" t="str">
            <v>03/01/2011 20:23:43</v>
          </cell>
        </row>
        <row r="9">
          <cell r="F9" t="str">
            <v>InfoProvider</v>
          </cell>
          <cell r="G9" t="str">
            <v>ZPS_MP05</v>
          </cell>
          <cell r="I9" t="str">
            <v>Status of Data</v>
          </cell>
          <cell r="J9" t="str">
            <v>10/10/2011 01:10:28</v>
          </cell>
        </row>
        <row r="10">
          <cell r="F10" t="str">
            <v>Query Technical Name</v>
          </cell>
          <cell r="G10" t="str">
            <v>ZPS_MP05_Q0002</v>
          </cell>
          <cell r="I10" t="str">
            <v>Relevance of Data (Date)</v>
          </cell>
          <cell r="J10" t="str">
            <v>10/10/2011</v>
          </cell>
        </row>
        <row r="11">
          <cell r="F11" t="str">
            <v>Query Description</v>
          </cell>
          <cell r="G11" t="str">
            <v>2- Mum Supply Divisional WBS Capex (01/04/2009 - 31/03/2010)</v>
          </cell>
          <cell r="I11" t="str">
            <v>Relevance of Data (Time)</v>
          </cell>
          <cell r="J11" t="str">
            <v>01:10:28</v>
          </cell>
        </row>
        <row r="15">
          <cell r="C15" t="str">
            <v>Budget Head Descript</v>
          </cell>
          <cell r="D15">
            <v>0</v>
          </cell>
          <cell r="F15" t="str">
            <v>Zone</v>
          </cell>
          <cell r="G15" t="str">
            <v>RENL-Supply-East Zone</v>
          </cell>
          <cell r="J15" t="str">
            <v>RENL-Supply-North Zone</v>
          </cell>
          <cell r="M15" t="str">
            <v>RENL-Supply-Central Zone</v>
          </cell>
          <cell r="P15" t="str">
            <v>RENL-Supply-South Central</v>
          </cell>
          <cell r="S15" t="str">
            <v>RENL-Supply-South Zone</v>
          </cell>
          <cell r="V15" t="str">
            <v>RENL-Real Estate -1</v>
          </cell>
          <cell r="Y15" t="str">
            <v>RENL-Real Estate -2</v>
          </cell>
          <cell r="AB15" t="str">
            <v>Overall Result</v>
          </cell>
        </row>
        <row r="16">
          <cell r="C16" t="str">
            <v>Budget Head Revised Structure</v>
          </cell>
          <cell r="D16">
            <v>0</v>
          </cell>
          <cell r="G16" t="str">
            <v>Budget Values (INR)</v>
          </cell>
          <cell r="H16" t="str">
            <v>Capex Values (INR)</v>
          </cell>
          <cell r="I16" t="str">
            <v>Balance Available (INR)</v>
          </cell>
          <cell r="J16" t="str">
            <v>Budget Values (INR)</v>
          </cell>
          <cell r="K16" t="str">
            <v>Capex Values (INR)</v>
          </cell>
          <cell r="L16" t="str">
            <v>Balance Available (INR)</v>
          </cell>
          <cell r="M16" t="str">
            <v>Budget Values (INR)</v>
          </cell>
          <cell r="N16" t="str">
            <v>Capex Values (INR)</v>
          </cell>
          <cell r="O16" t="str">
            <v>Balance Available (INR)</v>
          </cell>
          <cell r="P16" t="str">
            <v>Budget Values (INR)</v>
          </cell>
          <cell r="Q16" t="str">
            <v>Capex Values (INR)</v>
          </cell>
          <cell r="R16" t="str">
            <v>Balance Available (INR)</v>
          </cell>
          <cell r="S16" t="str">
            <v>Budget Values (INR)</v>
          </cell>
          <cell r="T16" t="str">
            <v>Capex Values (INR)</v>
          </cell>
          <cell r="U16" t="str">
            <v>Balance Available (INR)</v>
          </cell>
          <cell r="V16" t="str">
            <v>Budget Values (INR)</v>
          </cell>
          <cell r="W16" t="str">
            <v>Capex Values (INR)</v>
          </cell>
          <cell r="X16" t="str">
            <v>Balance Available (INR)</v>
          </cell>
          <cell r="Y16" t="str">
            <v>Budget Values (INR)</v>
          </cell>
          <cell r="Z16" t="str">
            <v>Capex Values (INR)</v>
          </cell>
          <cell r="AA16" t="str">
            <v>Balance Available (INR)</v>
          </cell>
          <cell r="AB16" t="str">
            <v>Budget Values (INR)</v>
          </cell>
          <cell r="AC16" t="str">
            <v>Capex Values (INR)</v>
          </cell>
          <cell r="AD16" t="str">
            <v>Balance Available (INR)</v>
          </cell>
        </row>
        <row r="17">
          <cell r="C17" t="str">
            <v>Budget Head</v>
          </cell>
          <cell r="D17">
            <v>0</v>
          </cell>
          <cell r="F17" t="str">
            <v>1  Receiving Station (RST)</v>
          </cell>
          <cell r="G17">
            <v>370049000</v>
          </cell>
          <cell r="H17">
            <v>274434161.63</v>
          </cell>
          <cell r="I17">
            <v>95614838.370000005</v>
          </cell>
          <cell r="J17">
            <v>226893000</v>
          </cell>
          <cell r="K17">
            <v>92711696.359999999</v>
          </cell>
          <cell r="L17">
            <v>134181303.64</v>
          </cell>
          <cell r="M17">
            <v>233323000</v>
          </cell>
          <cell r="N17">
            <v>223442046.69999999</v>
          </cell>
          <cell r="O17">
            <v>9880953.2999999505</v>
          </cell>
          <cell r="P17">
            <v>315449000</v>
          </cell>
          <cell r="Q17">
            <v>209221572.13999999</v>
          </cell>
          <cell r="R17">
            <v>106227427.86</v>
          </cell>
          <cell r="S17">
            <v>112386000</v>
          </cell>
          <cell r="T17">
            <v>24984960.800000001</v>
          </cell>
          <cell r="U17">
            <v>87401039.200000003</v>
          </cell>
          <cell r="AB17">
            <v>1258100000</v>
          </cell>
          <cell r="AC17">
            <v>824794437.63</v>
          </cell>
          <cell r="AD17">
            <v>433305562.37</v>
          </cell>
        </row>
        <row r="18">
          <cell r="C18" t="str">
            <v>Company code</v>
          </cell>
          <cell r="D18" t="str">
            <v>RENL Rel Infrastructure Ltd</v>
          </cell>
          <cell r="F18">
            <v>0</v>
          </cell>
        </row>
        <row r="19">
          <cell r="C19" t="str">
            <v>Key Figures</v>
          </cell>
          <cell r="D19" t="str">
            <v>,Budget Values (INR),Capex Values (INR),Balance Available (INR)</v>
          </cell>
          <cell r="F19" t="str">
            <v>O&amp;M Depts. - 1</v>
          </cell>
        </row>
        <row r="20">
          <cell r="C20" t="str">
            <v>MERC Code</v>
          </cell>
          <cell r="D20">
            <v>0</v>
          </cell>
          <cell r="F20" t="str">
            <v>2  11kv Mains (HTM)</v>
          </cell>
          <cell r="G20">
            <v>161079000</v>
          </cell>
          <cell r="H20">
            <v>155580860.11000001</v>
          </cell>
          <cell r="I20">
            <v>5498139.8899999904</v>
          </cell>
          <cell r="J20">
            <v>162699000</v>
          </cell>
          <cell r="K20">
            <v>121922026.79000001</v>
          </cell>
          <cell r="L20">
            <v>40776973.210000098</v>
          </cell>
          <cell r="M20">
            <v>142007000</v>
          </cell>
          <cell r="N20">
            <v>181718522.13</v>
          </cell>
          <cell r="O20">
            <v>-39711522.1300001</v>
          </cell>
          <cell r="P20">
            <v>126842000</v>
          </cell>
          <cell r="Q20">
            <v>114567398.34999999</v>
          </cell>
          <cell r="R20">
            <v>12274601.6499999</v>
          </cell>
          <cell r="S20">
            <v>119471000</v>
          </cell>
          <cell r="T20">
            <v>98429835.069999903</v>
          </cell>
          <cell r="U20">
            <v>21041164.9300001</v>
          </cell>
          <cell r="AB20">
            <v>712098000</v>
          </cell>
          <cell r="AC20">
            <v>672218642.45000005</v>
          </cell>
          <cell r="AD20">
            <v>39879357.550000101</v>
          </cell>
        </row>
        <row r="21">
          <cell r="C21" t="str">
            <v>Posting date</v>
          </cell>
          <cell r="D21">
            <v>0</v>
          </cell>
          <cell r="F21" t="str">
            <v>3  LT Mains (LTM)</v>
          </cell>
          <cell r="G21">
            <v>150260000</v>
          </cell>
          <cell r="H21">
            <v>152885954.46000001</v>
          </cell>
          <cell r="I21">
            <v>-2625954.4599999799</v>
          </cell>
          <cell r="J21">
            <v>132804000</v>
          </cell>
          <cell r="K21">
            <v>91027275.989999995</v>
          </cell>
          <cell r="L21">
            <v>41776724.009999998</v>
          </cell>
          <cell r="M21">
            <v>133394000</v>
          </cell>
          <cell r="N21">
            <v>93871098.040000007</v>
          </cell>
          <cell r="O21">
            <v>39522901.960000001</v>
          </cell>
          <cell r="P21">
            <v>134217000</v>
          </cell>
          <cell r="Q21">
            <v>90603966.659999996</v>
          </cell>
          <cell r="R21">
            <v>43613033.340000004</v>
          </cell>
          <cell r="S21">
            <v>99997000</v>
          </cell>
          <cell r="T21">
            <v>79875381.420000002</v>
          </cell>
          <cell r="U21">
            <v>20121618.579999998</v>
          </cell>
          <cell r="AB21">
            <v>650672000</v>
          </cell>
          <cell r="AC21">
            <v>508263676.56999999</v>
          </cell>
          <cell r="AD21">
            <v>142408323.43000001</v>
          </cell>
        </row>
        <row r="22">
          <cell r="C22" t="str">
            <v>Profit center</v>
          </cell>
          <cell r="D22" t="str">
            <v>30001 ..30001 , 30004 ..30004 , ]# ..# [</v>
          </cell>
          <cell r="F22" t="str">
            <v>4  Distribution Transformers (DTR)</v>
          </cell>
          <cell r="G22">
            <v>97504000</v>
          </cell>
          <cell r="H22">
            <v>75652697.200000003</v>
          </cell>
          <cell r="I22">
            <v>21851302.800000001</v>
          </cell>
          <cell r="J22">
            <v>102025000</v>
          </cell>
          <cell r="K22">
            <v>65459085.200000003</v>
          </cell>
          <cell r="L22">
            <v>36565914.799999997</v>
          </cell>
          <cell r="M22">
            <v>90407000</v>
          </cell>
          <cell r="N22">
            <v>71069324.030000001</v>
          </cell>
          <cell r="O22">
            <v>19337675.969999999</v>
          </cell>
          <cell r="P22">
            <v>89915000</v>
          </cell>
          <cell r="Q22">
            <v>65904846.990000002</v>
          </cell>
          <cell r="R22">
            <v>24010153.010000002</v>
          </cell>
          <cell r="S22">
            <v>85034000</v>
          </cell>
          <cell r="T22">
            <v>59484004.719999999</v>
          </cell>
          <cell r="U22">
            <v>25549995.280000001</v>
          </cell>
          <cell r="AB22">
            <v>464885000</v>
          </cell>
          <cell r="AC22">
            <v>337569958.13999999</v>
          </cell>
          <cell r="AD22">
            <v>127315041.86</v>
          </cell>
        </row>
        <row r="23">
          <cell r="C23" t="str">
            <v>WBS Element</v>
          </cell>
          <cell r="D23">
            <v>0</v>
          </cell>
          <cell r="F23" t="str">
            <v>5  11kv Switchgears (HTS)</v>
          </cell>
          <cell r="G23">
            <v>35790000</v>
          </cell>
          <cell r="H23">
            <v>41663564.509999998</v>
          </cell>
          <cell r="I23">
            <v>-5873564.5099999802</v>
          </cell>
          <cell r="J23">
            <v>37707000</v>
          </cell>
          <cell r="K23">
            <v>49228800.07</v>
          </cell>
          <cell r="L23">
            <v>-11521800.07</v>
          </cell>
          <cell r="M23">
            <v>31200000</v>
          </cell>
          <cell r="N23">
            <v>53762891.340000004</v>
          </cell>
          <cell r="O23">
            <v>-22562891.34</v>
          </cell>
          <cell r="P23">
            <v>30848000</v>
          </cell>
          <cell r="Q23">
            <v>32801287.760000002</v>
          </cell>
          <cell r="R23">
            <v>-1953287.76</v>
          </cell>
          <cell r="S23">
            <v>29955000</v>
          </cell>
          <cell r="T23">
            <v>16489947.460000001</v>
          </cell>
          <cell r="U23">
            <v>13465052.539999999</v>
          </cell>
          <cell r="AB23">
            <v>165500000</v>
          </cell>
          <cell r="AC23">
            <v>193946491.13999999</v>
          </cell>
          <cell r="AD23">
            <v>-28446491.140000001</v>
          </cell>
        </row>
        <row r="24">
          <cell r="C24" t="str">
            <v>Zone</v>
          </cell>
          <cell r="D24" t="str">
            <v>RENL-Supply-East Zone, RENL-Supply-North Zone, RENL-Supply-Central Zone, RENL-Supply-South Central...</v>
          </cell>
          <cell r="F24" t="str">
            <v>6  LT Switchgears (LTS)</v>
          </cell>
          <cell r="G24">
            <v>33587000</v>
          </cell>
          <cell r="H24">
            <v>18317853.719999999</v>
          </cell>
          <cell r="I24">
            <v>15269146.279999999</v>
          </cell>
          <cell r="J24">
            <v>28836000</v>
          </cell>
          <cell r="K24">
            <v>12545324.810000001</v>
          </cell>
          <cell r="L24">
            <v>16290675.189999999</v>
          </cell>
          <cell r="M24">
            <v>23410000</v>
          </cell>
          <cell r="N24">
            <v>10147314.789999999</v>
          </cell>
          <cell r="O24">
            <v>13262685.210000001</v>
          </cell>
          <cell r="P24">
            <v>20541000</v>
          </cell>
          <cell r="Q24">
            <v>15118390.77</v>
          </cell>
          <cell r="R24">
            <v>5422609.2300000004</v>
          </cell>
          <cell r="S24">
            <v>20187000</v>
          </cell>
          <cell r="T24">
            <v>12994644.84</v>
          </cell>
          <cell r="U24">
            <v>7192355.1600000001</v>
          </cell>
          <cell r="AB24">
            <v>126561000</v>
          </cell>
          <cell r="AC24">
            <v>69123528.930000007</v>
          </cell>
          <cell r="AD24">
            <v>57437471.07</v>
          </cell>
        </row>
        <row r="25">
          <cell r="F25" t="str">
            <v>O&amp;M Depts. - 1 Total</v>
          </cell>
          <cell r="G25">
            <v>478220000</v>
          </cell>
          <cell r="H25">
            <v>444100930</v>
          </cell>
          <cell r="I25">
            <v>34119070</v>
          </cell>
          <cell r="J25">
            <v>464071000</v>
          </cell>
          <cell r="K25">
            <v>340182512.86000001</v>
          </cell>
          <cell r="L25">
            <v>123888487.14</v>
          </cell>
          <cell r="M25">
            <v>420418000</v>
          </cell>
          <cell r="N25">
            <v>410569150.32999998</v>
          </cell>
          <cell r="O25">
            <v>9848849.6699998993</v>
          </cell>
          <cell r="P25">
            <v>402363000</v>
          </cell>
          <cell r="Q25">
            <v>318995890.52999997</v>
          </cell>
          <cell r="R25">
            <v>83367109.469999999</v>
          </cell>
          <cell r="S25">
            <v>354644000</v>
          </cell>
          <cell r="T25">
            <v>267273813.50999999</v>
          </cell>
          <cell r="U25">
            <v>87370186.490000099</v>
          </cell>
          <cell r="AB25">
            <v>2119716000</v>
          </cell>
          <cell r="AC25">
            <v>1781122297.23</v>
          </cell>
          <cell r="AD25">
            <v>338593702.76999998</v>
          </cell>
        </row>
        <row r="26">
          <cell r="F26">
            <v>0</v>
          </cell>
        </row>
        <row r="27">
          <cell r="F27" t="str">
            <v>O&amp;M Depts. - 2</v>
          </cell>
        </row>
        <row r="28">
          <cell r="F28" t="str">
            <v>7  Capacitors (LTC , HTC)</v>
          </cell>
          <cell r="G28">
            <v>7740000</v>
          </cell>
          <cell r="H28">
            <v>2861850.59</v>
          </cell>
          <cell r="I28">
            <v>4878149.41</v>
          </cell>
          <cell r="J28">
            <v>7740000</v>
          </cell>
          <cell r="K28">
            <v>4835181.6500000004</v>
          </cell>
          <cell r="L28">
            <v>2904818.35</v>
          </cell>
          <cell r="M28">
            <v>7740000</v>
          </cell>
          <cell r="N28">
            <v>11192583.99</v>
          </cell>
          <cell r="O28">
            <v>-3452583.99</v>
          </cell>
          <cell r="P28">
            <v>7740000</v>
          </cell>
          <cell r="Q28">
            <v>7107795.3600000003</v>
          </cell>
          <cell r="R28">
            <v>632204.64000000095</v>
          </cell>
          <cell r="S28">
            <v>7740000</v>
          </cell>
          <cell r="T28">
            <v>6549148.3300000001</v>
          </cell>
          <cell r="U28">
            <v>1190851.67</v>
          </cell>
          <cell r="AB28">
            <v>38700000</v>
          </cell>
          <cell r="AC28">
            <v>32546559.920000002</v>
          </cell>
          <cell r="AD28">
            <v>6153440.0800000001</v>
          </cell>
        </row>
        <row r="29">
          <cell r="F29" t="str">
            <v>8  Street Light (STL)</v>
          </cell>
          <cell r="G29">
            <v>44360000</v>
          </cell>
          <cell r="H29">
            <v>37506586.130000003</v>
          </cell>
          <cell r="I29">
            <v>6853413.8700000299</v>
          </cell>
          <cell r="J29">
            <v>44360000</v>
          </cell>
          <cell r="K29">
            <v>41910955.859999999</v>
          </cell>
          <cell r="L29">
            <v>2449044.14</v>
          </cell>
          <cell r="M29">
            <v>44360000</v>
          </cell>
          <cell r="N29">
            <v>18507792.149999999</v>
          </cell>
          <cell r="O29">
            <v>25852207.850000001</v>
          </cell>
          <cell r="P29">
            <v>44360000</v>
          </cell>
          <cell r="Q29">
            <v>36334611.090000004</v>
          </cell>
          <cell r="R29">
            <v>8025388.9099999797</v>
          </cell>
          <cell r="S29">
            <v>44360000</v>
          </cell>
          <cell r="T29">
            <v>19585832.27</v>
          </cell>
          <cell r="U29">
            <v>24774167.73</v>
          </cell>
          <cell r="AB29">
            <v>221800000</v>
          </cell>
          <cell r="AC29">
            <v>153845777.5</v>
          </cell>
          <cell r="AD29">
            <v>67954222.5</v>
          </cell>
        </row>
        <row r="30">
          <cell r="F30" t="str">
            <v>9  Building (BDG)</v>
          </cell>
          <cell r="G30">
            <v>31160000</v>
          </cell>
          <cell r="H30">
            <v>42034653.409999996</v>
          </cell>
          <cell r="I30">
            <v>-10874653.41</v>
          </cell>
          <cell r="J30">
            <v>31160000</v>
          </cell>
          <cell r="K30">
            <v>71688710.540000007</v>
          </cell>
          <cell r="L30">
            <v>-40528710.539999999</v>
          </cell>
          <cell r="M30">
            <v>31160000</v>
          </cell>
          <cell r="N30">
            <v>21577815.190000001</v>
          </cell>
          <cell r="O30">
            <v>9582184.8100000005</v>
          </cell>
          <cell r="P30">
            <v>31160000</v>
          </cell>
          <cell r="Q30">
            <v>22669734.5</v>
          </cell>
          <cell r="R30">
            <v>8490265.5</v>
          </cell>
          <cell r="S30">
            <v>31160000</v>
          </cell>
          <cell r="T30">
            <v>10076769.949999999</v>
          </cell>
          <cell r="U30">
            <v>21083230.050000001</v>
          </cell>
          <cell r="W30">
            <v>5760048.96</v>
          </cell>
          <cell r="X30">
            <v>-5760048.96</v>
          </cell>
          <cell r="Z30">
            <v>1909457.5</v>
          </cell>
          <cell r="AA30">
            <v>-1909457.5</v>
          </cell>
          <cell r="AB30">
            <v>155800000</v>
          </cell>
          <cell r="AC30">
            <v>175717190.05000001</v>
          </cell>
          <cell r="AD30">
            <v>-19917190.050000001</v>
          </cell>
        </row>
        <row r="31">
          <cell r="F31" t="str">
            <v>10  Disaster Management (DMP)</v>
          </cell>
          <cell r="H31">
            <v>-464967.19</v>
          </cell>
          <cell r="I31">
            <v>464967.19</v>
          </cell>
          <cell r="K31">
            <v>-338684.45</v>
          </cell>
          <cell r="L31">
            <v>338684.45</v>
          </cell>
          <cell r="N31">
            <v>1088956.6200000001</v>
          </cell>
          <cell r="O31">
            <v>-1088956.6200000001</v>
          </cell>
          <cell r="Q31">
            <v>145769.57999999999</v>
          </cell>
          <cell r="R31">
            <v>-145769.57999999999</v>
          </cell>
          <cell r="T31">
            <v>868548.87</v>
          </cell>
          <cell r="U31">
            <v>-868548.87</v>
          </cell>
          <cell r="AC31">
            <v>1299623.43</v>
          </cell>
          <cell r="AD31">
            <v>-1299623.43</v>
          </cell>
        </row>
        <row r="32">
          <cell r="F32" t="str">
            <v>O&amp;M Depts. - 2 Total</v>
          </cell>
          <cell r="G32">
            <v>83260000</v>
          </cell>
          <cell r="H32">
            <v>81938122.939999998</v>
          </cell>
          <cell r="I32">
            <v>1321877.0600000301</v>
          </cell>
          <cell r="J32">
            <v>83260000</v>
          </cell>
          <cell r="K32">
            <v>118096163.59999999</v>
          </cell>
          <cell r="L32">
            <v>-34836163.600000001</v>
          </cell>
          <cell r="M32">
            <v>83260000</v>
          </cell>
          <cell r="N32">
            <v>52367147.950000003</v>
          </cell>
          <cell r="O32">
            <v>30892852.050000001</v>
          </cell>
          <cell r="P32">
            <v>83260000</v>
          </cell>
          <cell r="Q32">
            <v>66257910.530000001</v>
          </cell>
          <cell r="R32">
            <v>17002089.469999999</v>
          </cell>
          <cell r="S32">
            <v>83260000</v>
          </cell>
          <cell r="T32">
            <v>37080299.420000002</v>
          </cell>
          <cell r="U32">
            <v>46179700.579999998</v>
          </cell>
          <cell r="W32">
            <v>5760048.96</v>
          </cell>
          <cell r="X32">
            <v>-5760048.96</v>
          </cell>
          <cell r="Z32">
            <v>1909457.5</v>
          </cell>
          <cell r="AA32">
            <v>-1909457.5</v>
          </cell>
          <cell r="AB32">
            <v>416300000</v>
          </cell>
          <cell r="AC32">
            <v>363409150.89999998</v>
          </cell>
          <cell r="AD32">
            <v>52890849.100000001</v>
          </cell>
        </row>
        <row r="33">
          <cell r="F33">
            <v>0</v>
          </cell>
        </row>
        <row r="34">
          <cell r="F34" t="str">
            <v>Business Depts.</v>
          </cell>
        </row>
        <row r="35">
          <cell r="F35" t="str">
            <v>11  Services (SER)</v>
          </cell>
          <cell r="G35">
            <v>122443000</v>
          </cell>
          <cell r="H35">
            <v>81509424.310000002</v>
          </cell>
          <cell r="I35">
            <v>40933575.689999998</v>
          </cell>
          <cell r="J35">
            <v>106078000</v>
          </cell>
          <cell r="K35">
            <v>74197583.959999993</v>
          </cell>
          <cell r="L35">
            <v>31880416.039999999</v>
          </cell>
          <cell r="M35">
            <v>116174000</v>
          </cell>
          <cell r="N35">
            <v>147741895.38</v>
          </cell>
          <cell r="O35">
            <v>-31567895.379999898</v>
          </cell>
          <cell r="P35">
            <v>92399000</v>
          </cell>
          <cell r="Q35">
            <v>57827259.5</v>
          </cell>
          <cell r="R35">
            <v>34571740.5</v>
          </cell>
          <cell r="S35">
            <v>59106000</v>
          </cell>
          <cell r="T35">
            <v>50845161.439999998</v>
          </cell>
          <cell r="U35">
            <v>8260838.5599999698</v>
          </cell>
          <cell r="AB35">
            <v>496200000</v>
          </cell>
          <cell r="AC35">
            <v>412121324.58999997</v>
          </cell>
          <cell r="AD35">
            <v>84078675.409999996</v>
          </cell>
        </row>
        <row r="36">
          <cell r="F36" t="str">
            <v>12  Meters (MAI)</v>
          </cell>
          <cell r="G36">
            <v>150737000</v>
          </cell>
          <cell r="I36">
            <v>150737000</v>
          </cell>
          <cell r="J36">
            <v>163906000</v>
          </cell>
          <cell r="L36">
            <v>163906000</v>
          </cell>
          <cell r="M36">
            <v>212610000</v>
          </cell>
          <cell r="O36">
            <v>212610000</v>
          </cell>
          <cell r="P36">
            <v>132580000</v>
          </cell>
          <cell r="R36">
            <v>132580000</v>
          </cell>
          <cell r="S36">
            <v>96759000</v>
          </cell>
          <cell r="U36">
            <v>96759000</v>
          </cell>
          <cell r="AB36">
            <v>756592000</v>
          </cell>
          <cell r="AD36">
            <v>756592000</v>
          </cell>
        </row>
        <row r="37">
          <cell r="F37" t="str">
            <v>Business Depts. Total</v>
          </cell>
          <cell r="G37">
            <v>273180000</v>
          </cell>
          <cell r="H37">
            <v>81509424.310000002</v>
          </cell>
          <cell r="I37">
            <v>191670575.69</v>
          </cell>
          <cell r="J37">
            <v>269984000</v>
          </cell>
          <cell r="K37">
            <v>74197583.959999993</v>
          </cell>
          <cell r="L37">
            <v>195786416.03999999</v>
          </cell>
          <cell r="M37">
            <v>328784000</v>
          </cell>
          <cell r="N37">
            <v>147741895.38</v>
          </cell>
          <cell r="O37">
            <v>181042104.62</v>
          </cell>
          <cell r="P37">
            <v>224979000</v>
          </cell>
          <cell r="Q37">
            <v>57827259.5</v>
          </cell>
          <cell r="R37">
            <v>167151740.5</v>
          </cell>
          <cell r="S37">
            <v>155865000</v>
          </cell>
          <cell r="T37">
            <v>50845161.439999998</v>
          </cell>
          <cell r="U37">
            <v>105019838.56</v>
          </cell>
          <cell r="AB37">
            <v>1252792000</v>
          </cell>
          <cell r="AC37">
            <v>412121324.58999997</v>
          </cell>
          <cell r="AD37">
            <v>840670675.40999997</v>
          </cell>
        </row>
        <row r="38">
          <cell r="F38">
            <v>0</v>
          </cell>
        </row>
        <row r="39">
          <cell r="F39" t="str">
            <v>Centralised Depts. - 1</v>
          </cell>
        </row>
        <row r="40">
          <cell r="F40" t="str">
            <v>13  Instruments (INS)</v>
          </cell>
          <cell r="G40">
            <v>8200000</v>
          </cell>
          <cell r="I40">
            <v>8200000</v>
          </cell>
          <cell r="J40">
            <v>8200000</v>
          </cell>
          <cell r="L40">
            <v>8200000</v>
          </cell>
          <cell r="M40">
            <v>8200000</v>
          </cell>
          <cell r="O40">
            <v>8200000</v>
          </cell>
          <cell r="P40">
            <v>8200000</v>
          </cell>
          <cell r="R40">
            <v>8200000</v>
          </cell>
          <cell r="S40">
            <v>8200000</v>
          </cell>
          <cell r="U40">
            <v>8200000</v>
          </cell>
          <cell r="AB40">
            <v>41000000</v>
          </cell>
          <cell r="AD40">
            <v>41000000</v>
          </cell>
        </row>
        <row r="41">
          <cell r="F41" t="str">
            <v>14  System Modernization (SYM)</v>
          </cell>
          <cell r="G41">
            <v>12935000</v>
          </cell>
          <cell r="H41">
            <v>126824179.54000001</v>
          </cell>
          <cell r="I41">
            <v>-113889179.54000001</v>
          </cell>
          <cell r="J41">
            <v>53033000</v>
          </cell>
          <cell r="K41">
            <v>14854462.99</v>
          </cell>
          <cell r="L41">
            <v>38178537.009999998</v>
          </cell>
          <cell r="M41">
            <v>90506000</v>
          </cell>
          <cell r="N41">
            <v>40436166.979999997</v>
          </cell>
          <cell r="O41">
            <v>50069833.020000003</v>
          </cell>
          <cell r="P41">
            <v>153130000</v>
          </cell>
          <cell r="Q41">
            <v>42307396.729999997</v>
          </cell>
          <cell r="R41">
            <v>110822603.27</v>
          </cell>
          <cell r="S41">
            <v>162414000</v>
          </cell>
          <cell r="T41">
            <v>65009775.850000001</v>
          </cell>
          <cell r="U41">
            <v>97404224.150000006</v>
          </cell>
          <cell r="AB41">
            <v>472018000</v>
          </cell>
          <cell r="AC41">
            <v>289431982.08999997</v>
          </cell>
          <cell r="AD41">
            <v>182586017.91</v>
          </cell>
        </row>
        <row r="42">
          <cell r="F42" t="str">
            <v>15  R&amp;D, Demand Side Mgt. &amp; Safety (R&amp;D)</v>
          </cell>
          <cell r="G42">
            <v>11500000</v>
          </cell>
          <cell r="H42">
            <v>33906.76</v>
          </cell>
          <cell r="I42">
            <v>11466093.24</v>
          </cell>
          <cell r="J42">
            <v>11500000</v>
          </cell>
          <cell r="K42">
            <v>12988.04</v>
          </cell>
          <cell r="L42">
            <v>11487011.960000001</v>
          </cell>
          <cell r="M42">
            <v>11500000</v>
          </cell>
          <cell r="N42">
            <v>122901.62</v>
          </cell>
          <cell r="O42">
            <v>11377098.380000001</v>
          </cell>
          <cell r="P42">
            <v>11500000</v>
          </cell>
          <cell r="Q42">
            <v>141106.37</v>
          </cell>
          <cell r="R42">
            <v>11358893.630000001</v>
          </cell>
          <cell r="S42">
            <v>11500000</v>
          </cell>
          <cell r="T42">
            <v>254302.36</v>
          </cell>
          <cell r="U42">
            <v>11245697.640000001</v>
          </cell>
          <cell r="AB42">
            <v>57500000</v>
          </cell>
          <cell r="AC42">
            <v>565205.15</v>
          </cell>
          <cell r="AD42">
            <v>56934794.850000001</v>
          </cell>
        </row>
        <row r="43">
          <cell r="F43" t="str">
            <v>Centralised Depts. - 1 Total</v>
          </cell>
          <cell r="G43">
            <v>32635000</v>
          </cell>
          <cell r="H43">
            <v>126858086.3</v>
          </cell>
          <cell r="I43">
            <v>-94223086.299999893</v>
          </cell>
          <cell r="J43">
            <v>72733000</v>
          </cell>
          <cell r="K43">
            <v>14867451.029999999</v>
          </cell>
          <cell r="L43">
            <v>57865548.969999999</v>
          </cell>
          <cell r="M43">
            <v>110206000</v>
          </cell>
          <cell r="N43">
            <v>40559068.600000001</v>
          </cell>
          <cell r="O43">
            <v>69646931.400000006</v>
          </cell>
          <cell r="P43">
            <v>172830000</v>
          </cell>
          <cell r="Q43">
            <v>42448503.100000001</v>
          </cell>
          <cell r="R43">
            <v>130381496.90000001</v>
          </cell>
          <cell r="S43">
            <v>182114000</v>
          </cell>
          <cell r="T43">
            <v>65264078.210000001</v>
          </cell>
          <cell r="U43">
            <v>116849921.79000001</v>
          </cell>
          <cell r="AB43">
            <v>570518000</v>
          </cell>
          <cell r="AC43">
            <v>289997187.24000001</v>
          </cell>
          <cell r="AD43">
            <v>280520812.75999999</v>
          </cell>
        </row>
        <row r="44">
          <cell r="F44">
            <v>0</v>
          </cell>
        </row>
        <row r="45">
          <cell r="F45" t="str">
            <v>Centralised Depts. - 2</v>
          </cell>
        </row>
        <row r="46">
          <cell r="F46" t="str">
            <v>16  Vehicles, Tools &amp; Admin. (VEH,TOL,OTH)</v>
          </cell>
          <cell r="G46">
            <v>13040000</v>
          </cell>
          <cell r="I46">
            <v>13040000</v>
          </cell>
          <cell r="J46">
            <v>13040000</v>
          </cell>
          <cell r="L46">
            <v>13040000</v>
          </cell>
          <cell r="M46">
            <v>13040000</v>
          </cell>
          <cell r="O46">
            <v>13040000</v>
          </cell>
          <cell r="P46">
            <v>13040000</v>
          </cell>
          <cell r="R46">
            <v>13040000</v>
          </cell>
          <cell r="S46">
            <v>13040000</v>
          </cell>
          <cell r="U46">
            <v>13040000</v>
          </cell>
          <cell r="AB46">
            <v>65200000</v>
          </cell>
          <cell r="AD46">
            <v>65200000</v>
          </cell>
        </row>
        <row r="47">
          <cell r="F47" t="str">
            <v>17  Information Technology (ITL)</v>
          </cell>
          <cell r="G47">
            <v>14640000</v>
          </cell>
          <cell r="I47">
            <v>14640000</v>
          </cell>
          <cell r="J47">
            <v>14640000</v>
          </cell>
          <cell r="L47">
            <v>14640000</v>
          </cell>
          <cell r="M47">
            <v>14640000</v>
          </cell>
          <cell r="O47">
            <v>14640000</v>
          </cell>
          <cell r="P47">
            <v>14640000</v>
          </cell>
          <cell r="R47">
            <v>14640000</v>
          </cell>
          <cell r="S47">
            <v>14640000</v>
          </cell>
          <cell r="U47">
            <v>14640000</v>
          </cell>
          <cell r="AB47">
            <v>73200000</v>
          </cell>
          <cell r="AD47">
            <v>73200000</v>
          </cell>
        </row>
        <row r="48">
          <cell r="F48" t="str">
            <v>18  Land Leashold (EST)</v>
          </cell>
          <cell r="V48">
            <v>50000000</v>
          </cell>
          <cell r="W48">
            <v>2030801.36</v>
          </cell>
          <cell r="X48">
            <v>47969198.640000001</v>
          </cell>
          <cell r="Y48">
            <v>50000000</v>
          </cell>
          <cell r="AA48">
            <v>50000000</v>
          </cell>
          <cell r="AB48">
            <v>100000000</v>
          </cell>
          <cell r="AC48">
            <v>2030801.36</v>
          </cell>
          <cell r="AD48">
            <v>97969198.640000001</v>
          </cell>
        </row>
        <row r="49">
          <cell r="F49" t="str">
            <v>Centralised Depts. - 2 Total</v>
          </cell>
          <cell r="G49">
            <v>27680000</v>
          </cell>
          <cell r="I49">
            <v>27680000</v>
          </cell>
          <cell r="J49">
            <v>27680000</v>
          </cell>
          <cell r="L49">
            <v>27680000</v>
          </cell>
          <cell r="M49">
            <v>27680000</v>
          </cell>
          <cell r="O49">
            <v>27680000</v>
          </cell>
          <cell r="P49">
            <v>27680000</v>
          </cell>
          <cell r="R49">
            <v>27680000</v>
          </cell>
          <cell r="S49">
            <v>27680000</v>
          </cell>
          <cell r="U49">
            <v>27680000</v>
          </cell>
          <cell r="V49">
            <v>50000000</v>
          </cell>
          <cell r="W49">
            <v>2030801.36</v>
          </cell>
          <cell r="X49">
            <v>47969198.640000001</v>
          </cell>
          <cell r="Y49">
            <v>50000000</v>
          </cell>
          <cell r="AA49">
            <v>50000000</v>
          </cell>
          <cell r="AB49">
            <v>238400000</v>
          </cell>
          <cell r="AC49">
            <v>2030801.36</v>
          </cell>
          <cell r="AD49">
            <v>236369198.63999999</v>
          </cell>
        </row>
        <row r="50">
          <cell r="F50">
            <v>0</v>
          </cell>
        </row>
        <row r="51">
          <cell r="F51" t="str">
            <v>19  Slum Electrification (SLR)</v>
          </cell>
          <cell r="G51">
            <v>181600000</v>
          </cell>
          <cell r="H51">
            <v>34198222.68</v>
          </cell>
          <cell r="I51">
            <v>147401777.31999999</v>
          </cell>
          <cell r="AB51">
            <v>181600000</v>
          </cell>
          <cell r="AC51">
            <v>34198222.68</v>
          </cell>
          <cell r="AD51">
            <v>147401777.31999999</v>
          </cell>
        </row>
        <row r="52">
          <cell r="F52">
            <v>0</v>
          </cell>
        </row>
        <row r="53">
          <cell r="F53" t="str">
            <v>Grand Total</v>
          </cell>
          <cell r="G53">
            <v>1446624000</v>
          </cell>
          <cell r="H53">
            <v>1043038947.86</v>
          </cell>
          <cell r="I53">
            <v>403585052.13999999</v>
          </cell>
          <cell r="J53">
            <v>1144621000</v>
          </cell>
          <cell r="K53">
            <v>640055407.80999994</v>
          </cell>
          <cell r="L53">
            <v>504565592.19</v>
          </cell>
          <cell r="M53">
            <v>1203671000</v>
          </cell>
          <cell r="N53">
            <v>874679308.96000004</v>
          </cell>
          <cell r="O53">
            <v>328991691.04000002</v>
          </cell>
          <cell r="P53">
            <v>1226561000</v>
          </cell>
          <cell r="Q53">
            <v>694751135.79999995</v>
          </cell>
          <cell r="R53">
            <v>531809864.19999999</v>
          </cell>
          <cell r="S53">
            <v>915949000</v>
          </cell>
          <cell r="T53">
            <v>445448313.38</v>
          </cell>
          <cell r="U53">
            <v>470500686.62</v>
          </cell>
          <cell r="V53">
            <v>50000000</v>
          </cell>
          <cell r="W53">
            <v>7790850.3200000003</v>
          </cell>
          <cell r="X53">
            <v>42209149.68</v>
          </cell>
          <cell r="Y53">
            <v>50000000</v>
          </cell>
          <cell r="Z53">
            <v>1909457.5</v>
          </cell>
          <cell r="AA53">
            <v>48090542.5</v>
          </cell>
          <cell r="AB53">
            <v>6037426000</v>
          </cell>
          <cell r="AC53">
            <v>3707673421.6300001</v>
          </cell>
          <cell r="AD53">
            <v>2329752578.3699999</v>
          </cell>
        </row>
      </sheetData>
      <sheetData sheetId="2" refreshError="1"/>
      <sheetData sheetId="3" refreshError="1"/>
      <sheetData sheetId="4" refreshError="1">
        <row r="6">
          <cell r="F6" t="str">
            <v>Author</v>
          </cell>
          <cell r="G6" t="str">
            <v>TMTEJAST</v>
          </cell>
          <cell r="I6" t="str">
            <v>Last Refreshed</v>
          </cell>
          <cell r="J6" t="str">
            <v>10/10/2011 12:06:17</v>
          </cell>
        </row>
        <row r="7">
          <cell r="F7" t="str">
            <v>Current User</v>
          </cell>
          <cell r="G7" t="str">
            <v>BI41004018</v>
          </cell>
          <cell r="I7" t="str">
            <v>Key Date</v>
          </cell>
          <cell r="J7" t="str">
            <v>10/10/2011</v>
          </cell>
        </row>
        <row r="8">
          <cell r="F8" t="str">
            <v>Last Changed By</v>
          </cell>
          <cell r="G8" t="str">
            <v>TMGURPREET</v>
          </cell>
          <cell r="I8" t="str">
            <v>Changed At</v>
          </cell>
          <cell r="J8" t="str">
            <v>03/01/2011 20:23:43</v>
          </cell>
        </row>
        <row r="9">
          <cell r="F9" t="str">
            <v>InfoProvider</v>
          </cell>
          <cell r="G9" t="str">
            <v>ZPS_MP05</v>
          </cell>
          <cell r="I9" t="str">
            <v>Status of Data</v>
          </cell>
          <cell r="J9" t="str">
            <v>10/10/2011 01:10:28</v>
          </cell>
        </row>
        <row r="10">
          <cell r="F10" t="str">
            <v>Query Technical Name</v>
          </cell>
          <cell r="G10" t="str">
            <v>ZPS_MP05_Q0002</v>
          </cell>
          <cell r="I10" t="str">
            <v>Relevance of Data (Date)</v>
          </cell>
          <cell r="J10" t="str">
            <v>10/10/2011</v>
          </cell>
        </row>
        <row r="11">
          <cell r="F11" t="str">
            <v>Query Description</v>
          </cell>
          <cell r="G11" t="str">
            <v>2- Mum Supply Divisional WBS Capex (01/04/2009 - 31/03/2010)</v>
          </cell>
          <cell r="I11" t="str">
            <v>Relevance of Data (Time)</v>
          </cell>
          <cell r="J11" t="str">
            <v>01:10:28</v>
          </cell>
        </row>
        <row r="15">
          <cell r="C15" t="str">
            <v>Budget Head Descript</v>
          </cell>
          <cell r="D15">
            <v>0</v>
          </cell>
        </row>
        <row r="16">
          <cell r="C16" t="str">
            <v>Budget Head Revised Structure</v>
          </cell>
          <cell r="D16">
            <v>0</v>
          </cell>
        </row>
        <row r="17">
          <cell r="C17" t="str">
            <v>Budget Head</v>
          </cell>
          <cell r="D17">
            <v>0</v>
          </cell>
        </row>
        <row r="18">
          <cell r="C18" t="str">
            <v>Company code</v>
          </cell>
          <cell r="D18" t="str">
            <v>RENL Rel Infrastructure Ltd</v>
          </cell>
        </row>
        <row r="19">
          <cell r="C19" t="str">
            <v>Key Figures</v>
          </cell>
          <cell r="D19" t="str">
            <v>,Budget Values (INR),Capex Values (INR),Balance Available (INR)</v>
          </cell>
        </row>
        <row r="20">
          <cell r="C20" t="str">
            <v>MERC Code</v>
          </cell>
          <cell r="D20">
            <v>0</v>
          </cell>
        </row>
        <row r="21">
          <cell r="C21" t="str">
            <v>Posting date</v>
          </cell>
          <cell r="D21">
            <v>0</v>
          </cell>
        </row>
        <row r="22">
          <cell r="C22" t="str">
            <v>Profit center</v>
          </cell>
          <cell r="D22" t="str">
            <v>30001 ..30001 , 30004 ..30004 , ]# ..# [</v>
          </cell>
        </row>
        <row r="23">
          <cell r="C23" t="str">
            <v>WBS Element</v>
          </cell>
          <cell r="D23">
            <v>0</v>
          </cell>
        </row>
        <row r="24">
          <cell r="C24" t="str">
            <v>Zone</v>
          </cell>
          <cell r="D24" t="str">
            <v>RENL-Supply-East Zone, RENL-Supply-North Zone, RENL-Supply-Central Zone, RENL-Supply-South Central...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I"/>
      <sheetName val="I(B)"/>
      <sheetName val="loss"/>
      <sheetName val="en-pur"/>
      <sheetName val="en-pur-cum"/>
      <sheetName val="Amt-cum"/>
      <sheetName val="1998-99"/>
      <sheetName val="I(B) (2)"/>
      <sheetName val="Amt-cum 98-99"/>
      <sheetName val="dtls"/>
      <sheetName val="1997-98"/>
      <sheetName val="1996-97"/>
      <sheetName val="5-inter"/>
      <sheetName val="5-inter -cum"/>
      <sheetName val="ins spares"/>
      <sheetName val="Input_Sheet"/>
      <sheetName val="Financial Estimates"/>
      <sheetName val="OT-Common (DB)"/>
      <sheetName val="OT-Common (Cr)"/>
      <sheetName val="OT-Discom(DB)"/>
      <sheetName val="OT-Discom(CR)"/>
      <sheetName val="May 0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000"/>
      <sheetName val="#1 Misc Pipe"/>
      <sheetName val="당진(기타)"/>
      <sheetName val="당진1Drip Shield"/>
      <sheetName val="당진2Drip Shield "/>
      <sheetName val="DJ1"/>
      <sheetName val="Summary"/>
      <sheetName val="#1_Misc_Pipe"/>
      <sheetName val="당진1Drip_Shield"/>
      <sheetName val="당진2Drip_Shield_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Assumptions"/>
      <sheetName val="A 3.7"/>
      <sheetName val="water_bal"/>
      <sheetName val="Daily_input"/>
      <sheetName val="Daily_report"/>
      <sheetName val="A_3_7"/>
      <sheetName val="Clause 9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Sheet6"/>
      <sheetName val="pmts"/>
      <sheetName val="JE"/>
      <sheetName val="utilisation"/>
      <sheetName val="var summ"/>
      <sheetName val="Oustanding Balances"/>
      <sheetName val="7.875%"/>
      <sheetName val="8.500%"/>
      <sheetName val="31.3LOANBAL"/>
      <sheetName val="MONTHWISE"/>
      <sheetName val="swaps"/>
      <sheetName val="EF"/>
      <sheetName val="41"/>
      <sheetName val="11"/>
      <sheetName val="Sheet5"/>
      <sheetName val="12"/>
      <sheetName val="16"/>
      <sheetName val="jojo-17"/>
      <sheetName val="17 NEW"/>
      <sheetName val="TISCO13th bill"/>
      <sheetName val="LOSS BOOKING"/>
      <sheetName val="XREF"/>
      <sheetName val="Tickmarks"/>
      <sheetName val="discount"/>
      <sheetName val="av rate"/>
      <sheetName val="16-capn"/>
      <sheetName val="17"/>
      <sheetName val="buyback"/>
      <sheetName val="caprev"/>
      <sheetName val="repatje"/>
      <sheetName val="Sheet4"/>
      <sheetName val="profit on repat"/>
      <sheetName val="Sheet1"/>
      <sheetName val="swap"/>
      <sheetName val="rough"/>
      <sheetName val="yhm"/>
      <sheetName val="Sheet3"/>
      <sheetName val="Sheet2"/>
      <sheetName val="realgnments2001"/>
      <sheetName val="realignment2000"/>
      <sheetName val="realignment99"/>
      <sheetName val="realignment98"/>
      <sheetName val="cd etc"/>
      <sheetName val="chaseAc"/>
      <sheetName val="Issue exp"/>
      <sheetName val="disc"/>
      <sheetName val="jojoadjt03"/>
      <sheetName val="jojoadjt02"/>
      <sheetName val="alloc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DONE"/>
      <sheetName val="Master Sep"/>
      <sheetName val="Master Sep (2)"/>
      <sheetName val="MASTER SCHEDULE F"/>
      <sheetName val="MARKET RATE"/>
      <sheetName val="PROFIT ON  SALE"/>
      <sheetName val="Sheet3"/>
      <sheetName val="Sheet1"/>
      <sheetName val="Sheet2"/>
      <sheetName val="Investment breakup"/>
      <sheetName val="Master June"/>
      <sheetName val="UTI"/>
      <sheetName val="MASTER - M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Sheet"/>
      <sheetName val="Heat rate working"/>
      <sheetName val="Final working"/>
      <sheetName val="Generation Details Unit wise"/>
      <sheetName val="REVENUE SCHEDULE-"/>
      <sheetName val="BANKING SUMM "/>
      <sheetName val="15 days Prov Mth 06"/>
      <sheetName val="15 Days provn-our working"/>
      <sheetName val="TS (Data)"/>
      <sheetName val="UI"/>
      <sheetName val="Load factor Incentive"/>
      <sheetName val="Transmission Charges"/>
      <sheetName val="Billed on 1st of next month"/>
      <sheetName val="OLA Sales"/>
      <sheetName val="Incentive-H1"/>
      <sheetName val="Incentives Sep 09"/>
      <sheetName val="LT2 ATE"/>
      <sheetName val="Tickmarks"/>
      <sheetName val="#REF"/>
      <sheetName val="Hear rate working"/>
      <sheetName val="Cost of PP TPTCL RIL-audited Q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  <sheetName val="Daily_input"/>
      <sheetName val="Daily_report"/>
      <sheetName val="Instruction Sheet"/>
      <sheetName val="SUMMERY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 refreshError="1"/>
      <sheetData sheetId="1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Sheet"/>
      <sheetName val="Worksheet"/>
      <sheetName val="REVENUE SCHEDULE-"/>
      <sheetName val="Final working"/>
      <sheetName val="BANKING SUMM "/>
      <sheetName val="15 Days provn-our working"/>
      <sheetName val="TS (Data)"/>
      <sheetName val="UI"/>
      <sheetName val="Load factor Incentive"/>
      <sheetName val="Transmission Charges"/>
      <sheetName val="Billed on 1st of next month"/>
      <sheetName val="OLA Sales"/>
      <sheetName val="Incentive-H1"/>
      <sheetName val="Incentives March 10"/>
      <sheetName val="LT2 ATE"/>
      <sheetName val="Generation Details Unit wise"/>
      <sheetName val="Heat rate working"/>
      <sheetName val="XREF"/>
      <sheetName val="Tickmarks"/>
    </sheetNames>
    <sheetDataSet>
      <sheetData sheetId="0"/>
      <sheetData sheetId="1"/>
      <sheetData sheetId="2">
        <row r="23">
          <cell r="N23">
            <v>4974516739.9099998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9">
          <cell r="E39">
            <v>827.830242</v>
          </cell>
        </row>
      </sheetData>
      <sheetData sheetId="16"/>
      <sheetData sheetId="17">
        <row r="3">
          <cell r="E3" t="str">
            <v>!</v>
          </cell>
        </row>
      </sheetData>
      <sheetData sheetId="18">
        <row r="15">
          <cell r="A15" t="str">
            <v>{g}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.O Details G"/>
      <sheetName val="T.O Details D"/>
      <sheetName val="Rev Best, Rinfra,TPC 10"/>
      <sheetName val="TS (Data)"/>
      <sheetName val="Final working"/>
      <sheetName val="BEST Rinfra TPCD Rev"/>
      <sheetName val="TPC G ARR"/>
      <sheetName val="YTD (crs) (Combine)"/>
      <sheetName val="TPC - G FY 10 "/>
      <sheetName val="Recon AC"/>
      <sheetName val="TPC-D Rev"/>
      <sheetName val="TPC -D"/>
      <sheetName val="Sales break up"/>
      <sheetName val="Power_Purchase_FY10"/>
      <sheetName val="OLA sale"/>
      <sheetName val="p.p "/>
      <sheetName val="D.L.  "/>
      <sheetName val="Data_G_81211"/>
      <sheetName val="Worksheet PP"/>
      <sheetName val="FAC Summary"/>
      <sheetName val="Wind FY10  (as per SLDC)"/>
      <sheetName val="Wind FY10 "/>
      <sheetName val="Summary OLA"/>
      <sheetName val="Worksheet"/>
      <sheetName val="Power_Purchase_FY0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3">
          <cell r="D23">
            <v>-12.296534930489191</v>
          </cell>
        </row>
      </sheetData>
      <sheetData sheetId="11"/>
      <sheetData sheetId="12">
        <row r="26">
          <cell r="D26">
            <v>222.99280280888843</v>
          </cell>
        </row>
      </sheetData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>
        <row r="26">
          <cell r="D26">
            <v>222.99280280888843</v>
          </cell>
        </row>
      </sheetData>
      <sheetData sheetId="2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SUMMARY"/>
      <sheetName val="UI LA"/>
      <sheetName val="Worksheet PP"/>
      <sheetName val="TPC-G PP"/>
      <sheetName val="Tickmarks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"/>
      <sheetName val="cont pp apr-june"/>
      <sheetName val="contppjuly"/>
      <sheetName val="SUMMARY"/>
      <sheetName val="Cont PP- Sum"/>
      <sheetName val="sr"/>
      <sheetName val="summ"/>
      <sheetName val="sch"/>
      <sheetName val="wcp"/>
      <sheetName val="wcr"/>
      <sheetName val="sales"/>
      <sheetName val="contpp (2)"/>
      <sheetName val="Worksheet PP"/>
      <sheetName val="UI Purchased"/>
      <sheetName val="BANKING SUMM"/>
      <sheetName val="Banking 31st March, 2009"/>
      <sheetName val="BANKING SUMM Old"/>
      <sheetName val="BANKING Sep 08"/>
      <sheetName val="BANKING June 08"/>
      <sheetName val="fac"/>
      <sheetName val="wind adjt"/>
      <sheetName val="all acts"/>
      <sheetName val="sldc"/>
      <sheetName val="wind"/>
      <sheetName val="rough"/>
      <sheetName val="supa"/>
      <sheetName val="monthwise"/>
      <sheetName val="Sheet2"/>
      <sheetName val="jindaldec"/>
      <sheetName val="Sheet1"/>
      <sheetName val="TPC-G PP"/>
      <sheetName val="TPC-G-April Bill"/>
      <sheetName val="TPC-G-May"/>
      <sheetName val="TPC-G- June"/>
      <sheetName val="TPC-D -July "/>
      <sheetName val="TPC-D (Gen)  Aug"/>
      <sheetName val="TPC-D (Gen) Sep"/>
      <sheetName val="TPC-D (Gen) Oct"/>
      <sheetName val="TPC-D (Gen) Nov"/>
      <sheetName val="TPC-D (Gen) Dec "/>
      <sheetName val="Tickmarks"/>
      <sheetName val="#REF"/>
    </sheetNames>
    <sheetDataSet>
      <sheetData sheetId="0"/>
      <sheetData sheetId="1"/>
      <sheetData sheetId="2"/>
      <sheetData sheetId="3">
        <row r="40">
          <cell r="D40">
            <v>4866129.57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7">
          <cell r="A17" t="str">
            <v>{h}</v>
          </cell>
        </row>
      </sheetData>
      <sheetData sheetId="4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Sheet6"/>
      <sheetName val="pmts"/>
      <sheetName val="JE"/>
      <sheetName val="utilisation"/>
      <sheetName val="LOSS BOOKING"/>
      <sheetName val="Oustanding Balances"/>
      <sheetName val="7.875%"/>
      <sheetName val="8.500%"/>
      <sheetName val="31.3LOANBAL"/>
      <sheetName val="MONTHWISE"/>
      <sheetName val="swaps"/>
      <sheetName val="var summ"/>
      <sheetName val="EF"/>
      <sheetName val="41"/>
      <sheetName val="11"/>
      <sheetName val="Sheet5"/>
      <sheetName val="12"/>
      <sheetName val="16"/>
      <sheetName val="jojo-17"/>
      <sheetName val="17 "/>
      <sheetName val="TISCO13th bill"/>
      <sheetName val="discount"/>
      <sheetName val="av rate"/>
      <sheetName val="XREF"/>
      <sheetName val="Tickmarks"/>
      <sheetName val="16-capn"/>
      <sheetName val="17"/>
      <sheetName val="buyback"/>
      <sheetName val="caprev"/>
      <sheetName val="repatje"/>
      <sheetName val="Sheet4"/>
      <sheetName val="profit on repat"/>
      <sheetName val="Sheet1"/>
      <sheetName val="swap"/>
      <sheetName val="rough"/>
      <sheetName val="yhm"/>
      <sheetName val="Sheet3"/>
      <sheetName val="Sheet2"/>
      <sheetName val="realgnments2001"/>
      <sheetName val="realignment2000"/>
      <sheetName val="realignment99"/>
      <sheetName val="realignment98"/>
      <sheetName val="cd etc"/>
      <sheetName val="chaseAc"/>
      <sheetName val="Issue exp"/>
      <sheetName val="disc"/>
      <sheetName val="jojoadjt03"/>
      <sheetName val="jojoadjt02"/>
      <sheetName val="alloc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28">
          <cell r="J28">
            <v>-103028415</v>
          </cell>
          <cell r="K28" t="str">
            <v>!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3">
          <cell r="A3">
            <v>230585303.5</v>
          </cell>
          <cell r="B3">
            <v>230585303.5</v>
          </cell>
          <cell r="D3" t="str">
            <v>INTEREST AND FINANCE CHARGES LEADSHEET</v>
          </cell>
          <cell r="E3" t="str">
            <v>!</v>
          </cell>
        </row>
        <row r="5">
          <cell r="A5">
            <v>-14737737</v>
          </cell>
          <cell r="B5">
            <v>-14737737</v>
          </cell>
          <cell r="D5" t="str">
            <v>PROVISIONS FOR SEC./ UNSEC. LOANS LEADSHEET</v>
          </cell>
          <cell r="E5" t="str">
            <v>!</v>
          </cell>
        </row>
        <row r="6">
          <cell r="A6">
            <v>-1639937440</v>
          </cell>
          <cell r="B6">
            <v>-1639937440</v>
          </cell>
          <cell r="D6" t="str">
            <v>UNSECURED LOANS LEADSHEET</v>
          </cell>
          <cell r="E6" t="str">
            <v>!</v>
          </cell>
        </row>
        <row r="7">
          <cell r="A7">
            <v>-842699986</v>
          </cell>
          <cell r="B7">
            <v>-842699986</v>
          </cell>
          <cell r="D7" t="str">
            <v>UNSECURED LOANS LEADSHEET</v>
          </cell>
          <cell r="E7" t="str">
            <v>!</v>
          </cell>
        </row>
        <row r="8">
          <cell r="A8">
            <v>-103028415</v>
          </cell>
          <cell r="B8">
            <v>-103028415</v>
          </cell>
          <cell r="D8" t="str">
            <v>INTEREST AND FINANCE CHARGES LEADSHEET</v>
          </cell>
          <cell r="E8" t="str">
            <v>!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XREF"/>
      <sheetName val="Tickmarks"/>
      <sheetName val="1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KANE (2)"/>
      <sheetName val="FCCB "/>
      <sheetName val="Int recd"/>
      <sheetName val="ISSUE EXPS AND CONVERSION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EQUITY PRICES"/>
      <sheetName val="DEBT PRICES"/>
      <sheetName val="XREF"/>
      <sheetName val="Tickmarks"/>
      <sheetName val="FCCB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Sheet"/>
      <sheetName val="Month"/>
      <sheetName val="YTD"/>
      <sheetName val="YTD (crs)"/>
      <sheetName val="Sheet1"/>
      <sheetName val="Revenue Schedule"/>
      <sheetName val="15 days Prov-Client schedule"/>
      <sheetName val="15 Days provn-our working"/>
      <sheetName val="TS (Data)"/>
      <sheetName val="Reco of Energy charge"/>
      <sheetName val="Directly billed customers"/>
      <sheetName val="Load factor Incentive"/>
      <sheetName val="Cash Disc Availed BEST REL RLYs"/>
      <sheetName val="Billed on 1st of next month"/>
      <sheetName val="Billed on1st for Previous month"/>
      <sheetName val="Cash discount for March08"/>
      <sheetName val="MSEB Excess Power supply"/>
      <sheetName val="OLA sales"/>
      <sheetName val="XREF"/>
      <sheetName val="Tickmar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"/>
      <sheetName val="Project Outline"/>
      <sheetName val="주요공사"/>
      <sheetName val="Contractual Amount"/>
      <sheetName val="시헹예산"/>
      <sheetName val="TENDER vs BUDGET"/>
      <sheetName val="직영 vs 하청 - 2"/>
      <sheetName val="96 당초Schedule"/>
      <sheetName val="96 Performance"/>
      <sheetName val="소화-투입 분석표"/>
      <sheetName val="STF ORG(K)"/>
      <sheetName val="Staff Org. Chart"/>
      <sheetName val="Scope of Work"/>
      <sheetName val="Design Status"/>
      <sheetName val="DWG Status"/>
      <sheetName val="MAT'L Status"/>
      <sheetName val="장비동원"/>
      <sheetName val="근로자동원"/>
      <sheetName val="Install Status"/>
      <sheetName val="Staff Mob. Plan"/>
      <sheetName val="M.P Mob. Plan"/>
      <sheetName val="Eq. Mobiliz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"/>
      <sheetName val="Project Outline"/>
      <sheetName val="주요공사"/>
      <sheetName val="Contractual Amount"/>
      <sheetName val="시헹예산"/>
      <sheetName val="TENDER vs BUDGET"/>
      <sheetName val="직영 vs 하청 - 2"/>
      <sheetName val="96 당초Schedule"/>
      <sheetName val="96 Performance"/>
      <sheetName val="소화-투입 분석표"/>
      <sheetName val="STF ORG(K)"/>
      <sheetName val="Staff Org. Chart"/>
      <sheetName val="Scope of Work"/>
      <sheetName val="Design Status"/>
      <sheetName val="DWG Status"/>
      <sheetName val="MAT'L Status"/>
      <sheetName val="장비동원"/>
      <sheetName val="근로자동원"/>
      <sheetName val="Install Status"/>
      <sheetName val="Staff Mob. Plan"/>
      <sheetName val="M.P Mob. Plan"/>
      <sheetName val="Eq. Mobilization"/>
      <sheetName val="Cover_Sheet"/>
      <sheetName val="Project_Outline"/>
      <sheetName val="Contractual_Amount"/>
      <sheetName val="TENDER_vs_BUDGET"/>
      <sheetName val="직영_vs_하청_-_2"/>
      <sheetName val="96_당초Schedule"/>
      <sheetName val="96_Performance"/>
      <sheetName val="소화-투입_분석표"/>
      <sheetName val="STF_ORG(K)"/>
      <sheetName val="Staff_Org__Chart"/>
      <sheetName val="Scope_of_Work"/>
      <sheetName val="Design_Status"/>
      <sheetName val="DWG_Status"/>
      <sheetName val="MAT'L_Status"/>
      <sheetName val="Install_Status"/>
      <sheetName val="Staff_Mob__Plan"/>
      <sheetName val="M_P_Mob__Plan"/>
      <sheetName val="Eq__Mobilization"/>
      <sheetName val="Cover_Sheet1"/>
      <sheetName val="Project_Outline1"/>
      <sheetName val="Contractual_Amount1"/>
      <sheetName val="TENDER_vs_BUDGET1"/>
      <sheetName val="직영_vs_하청_-_21"/>
      <sheetName val="96_당초Schedule1"/>
      <sheetName val="96_Performance1"/>
      <sheetName val="소화-투입_분석표1"/>
      <sheetName val="STF_ORG(K)1"/>
      <sheetName val="Staff_Org__Chart1"/>
      <sheetName val="Scope_of_Work1"/>
      <sheetName val="Design_Status1"/>
      <sheetName val="DWG_Status1"/>
      <sheetName val="MAT'L_Status1"/>
      <sheetName val="Install_Status1"/>
      <sheetName val="Staff_Mob__Plan1"/>
      <sheetName val="M_P_Mob__Plan1"/>
      <sheetName val="Eq__Mobilization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"/>
      <sheetName val="Project Outline"/>
      <sheetName val="주요공사"/>
      <sheetName val="Contractual Amount"/>
      <sheetName val="시헹예산"/>
      <sheetName val="TENDER vs BUDGET"/>
      <sheetName val="직영 vs 하청 - 2"/>
      <sheetName val="96 당초Schedule"/>
      <sheetName val="96 Performance"/>
      <sheetName val="소화-투입 분석표"/>
      <sheetName val="STF ORG(K)"/>
      <sheetName val="Staff Org. Chart"/>
      <sheetName val="Scope of Work"/>
      <sheetName val="Design Status"/>
      <sheetName val="DWG Status"/>
      <sheetName val="MAT'L Status"/>
      <sheetName val="장비동원"/>
      <sheetName val="근로자동원"/>
      <sheetName val="Install Status"/>
      <sheetName val="Staff Mob. Plan"/>
      <sheetName val="M.P Mob. Plan"/>
      <sheetName val="Eq. Mobilization"/>
      <sheetName val="Cover_Sheet"/>
      <sheetName val="Project_Outline"/>
      <sheetName val="Contractual_Amount"/>
      <sheetName val="TENDER_vs_BUDGET"/>
      <sheetName val="직영_vs_하청_-_2"/>
      <sheetName val="96_당초Schedule"/>
      <sheetName val="96_Performance"/>
      <sheetName val="소화-투입_분석표"/>
      <sheetName val="STF_ORG(K)"/>
      <sheetName val="Staff_Org__Chart"/>
      <sheetName val="Scope_of_Work"/>
      <sheetName val="Design_Status"/>
      <sheetName val="DWG_Status"/>
      <sheetName val="MAT'L_Status"/>
      <sheetName val="Install_Status"/>
      <sheetName val="Staff_Mob__Plan"/>
      <sheetName val="M_P_Mob__Plan"/>
      <sheetName val="Eq__Mobilization"/>
      <sheetName val="M-EQPT-Z"/>
      <sheetName val="Cover_Sheet1"/>
      <sheetName val="Project_Outline1"/>
      <sheetName val="Contractual_Amount1"/>
      <sheetName val="TENDER_vs_BUDGET1"/>
      <sheetName val="직영_vs_하청_-_21"/>
      <sheetName val="96_당초Schedule1"/>
      <sheetName val="96_Performance1"/>
      <sheetName val="소화-투입_분석표1"/>
      <sheetName val="STF_ORG(K)1"/>
      <sheetName val="Staff_Org__Chart1"/>
      <sheetName val="Scope_of_Work1"/>
      <sheetName val="Design_Status1"/>
      <sheetName val="DWG_Status1"/>
      <sheetName val="MAT'L_Status1"/>
      <sheetName val="Install_Status1"/>
      <sheetName val="Staff_Mob__Plan1"/>
      <sheetName val="M_P_Mob__Plan1"/>
      <sheetName val="Eq__Mobilization1"/>
      <sheetName val="Cover_Sheet2"/>
      <sheetName val="Project_Outline2"/>
      <sheetName val="Contractual_Amount2"/>
      <sheetName val="TENDER_vs_BUDGET2"/>
      <sheetName val="직영_vs_하청_-_22"/>
      <sheetName val="96_당초Schedule2"/>
      <sheetName val="96_Performance2"/>
      <sheetName val="소화-투입_분석표2"/>
      <sheetName val="STF_ORG(K)2"/>
      <sheetName val="Staff_Org__Chart2"/>
      <sheetName val="Scope_of_Work2"/>
      <sheetName val="Design_Status2"/>
      <sheetName val="DWG_Status2"/>
      <sheetName val="MAT'L_Status2"/>
      <sheetName val="Install_Status2"/>
      <sheetName val="Staff_Mob__Plan2"/>
      <sheetName val="M_P_Mob__Plan2"/>
      <sheetName val="Eq__Mobilization2"/>
      <sheetName val="SALE"/>
      <sheetName val="fbmar"/>
      <sheetName val="SLB_PROD"/>
      <sheetName val="comp."/>
      <sheetName val="XREF"/>
      <sheetName val="SUMMARY"/>
      <sheetName val="업체명"/>
      <sheetName val="임율 Data"/>
      <sheetName val="예제"/>
      <sheetName val="Control"/>
      <sheetName val="POI_MASTER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11.2004"/>
      <sheetName val="RIM  list as on 01.11.04"/>
      <sheetName val="Key"/>
      <sheetName val="2-Part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SR"/>
      <sheetName val="BALANCE_SHEET"/>
      <sheetName val="fcl"/>
      <sheetName val="BALANCE_SHEET1"/>
      <sheetName val="BALANCE_SHEET2"/>
      <sheetName val="BALANCE_SHEET3"/>
      <sheetName val="77S(O)"/>
      <sheetName val="CONBS"/>
      <sheetName val="expired"/>
      <sheetName val="DURGESH"/>
      <sheetName val="04REL"/>
      <sheetName val="01.11.2004"/>
      <sheetName val="TRIALBALANCE"/>
      <sheetName val="BALANCE_SHEET4"/>
      <sheetName val="Risks of material misstatement"/>
      <sheetName val="BALANCE_SHEET5"/>
      <sheetName val="1.Loans Control Chart- Mar 2007"/>
      <sheetName val="BALANCE_SHEET6"/>
      <sheetName val="Scheme"/>
      <sheetName val="Chart-Major customer"/>
      <sheetName val="ROMM Data for Validation"/>
      <sheetName val="Trial Report"/>
      <sheetName val="License Area"/>
      <sheetName val="Validation Details"/>
      <sheetName val="Data from Access"/>
      <sheetName val="Material "/>
      <sheetName val="Labour &amp; Plant"/>
      <sheetName val="summary"/>
      <sheetName val="PTIN03"/>
      <sheetName val="BALANCE_SHEET7"/>
      <sheetName val="Risks_of_material_misstatement"/>
      <sheetName val="1_Loans_Control_Chart-_Mar_2007"/>
      <sheetName val="ROMM_Data_for_Validation"/>
      <sheetName val="Validation_Details"/>
      <sheetName val="Data_from_Access"/>
      <sheetName val="Instructions"/>
      <sheetName val="BS "/>
      <sheetName val="ANUAL PLAN"/>
      <sheetName val="Allahabad Bank"/>
      <sheetName val="Bank of Baroda"/>
      <sheetName val="BOI"/>
      <sheetName val="Canara"/>
      <sheetName val="Indian"/>
      <sheetName val="IDBI"/>
      <sheetName val="IOB"/>
      <sheetName val="PNB"/>
      <sheetName val="Punjab &amp; Sind"/>
      <sheetName val="SBHyderabad"/>
      <sheetName val="SBI"/>
      <sheetName val="SBMysore"/>
      <sheetName val="SBPatiala"/>
      <sheetName val="SBSaurashtra"/>
      <sheetName val="Union Bank"/>
      <sheetName val="Ins Erection"/>
      <sheetName val="plbs"/>
      <sheetName val="FitOutConfCentre"/>
      <sheetName val="Accounts"/>
      <sheetName val="Sheet2"/>
      <sheetName val="Top Sheet"/>
      <sheetName val="2005"/>
      <sheetName val="P&amp;L"/>
      <sheetName val="BALANCE-SHEET"/>
      <sheetName val="sdrs_mar"/>
      <sheetName val="tb, p&amp;l, bs"/>
      <sheetName val="data"/>
      <sheetName val="ACK-NEW"/>
      <sheetName val="x-rate"/>
      <sheetName val="Les Cèdres"/>
      <sheetName val="COMPLEXALL"/>
    </sheetNames>
    <sheetDataSet>
      <sheetData sheetId="0" refreshError="1">
        <row r="1">
          <cell r="B1" t="str">
            <v>ESSAR OIL LIMITED</v>
          </cell>
        </row>
        <row r="58">
          <cell r="K58" t="str">
            <v>:</v>
          </cell>
          <cell r="L58">
            <v>407888122</v>
          </cell>
          <cell r="M58" t="str">
            <v>:</v>
          </cell>
        </row>
        <row r="59">
          <cell r="K59" t="str">
            <v>:</v>
          </cell>
          <cell r="L59" t="str">
            <v>-</v>
          </cell>
          <cell r="M59" t="str">
            <v>:</v>
          </cell>
        </row>
        <row r="60">
          <cell r="K60" t="str">
            <v>:</v>
          </cell>
          <cell r="M60" t="str">
            <v>:</v>
          </cell>
        </row>
        <row r="61">
          <cell r="K61" t="str">
            <v>:</v>
          </cell>
          <cell r="L61">
            <v>-319358932</v>
          </cell>
          <cell r="M61" t="str">
            <v>:</v>
          </cell>
        </row>
        <row r="62">
          <cell r="K62" t="str">
            <v>:</v>
          </cell>
          <cell r="M62" t="str">
            <v>:</v>
          </cell>
        </row>
        <row r="63">
          <cell r="K63" t="str">
            <v>:</v>
          </cell>
          <cell r="L63">
            <v>23383172</v>
          </cell>
          <cell r="M63" t="str">
            <v>:</v>
          </cell>
        </row>
        <row r="64">
          <cell r="K64" t="str">
            <v>:</v>
          </cell>
          <cell r="L64" t="str">
            <v>-</v>
          </cell>
          <cell r="M64" t="str">
            <v>:</v>
          </cell>
        </row>
        <row r="65">
          <cell r="K65" t="str">
            <v>:</v>
          </cell>
          <cell r="L65">
            <v>1352522244.49</v>
          </cell>
          <cell r="M65" t="str">
            <v>:</v>
          </cell>
        </row>
        <row r="67">
          <cell r="L67">
            <v>821501408.50999999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B1" t="str">
            <v>ESSAR OIL LIMITED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B1" t="str">
            <v>ESSAR OIL LIMITED</v>
          </cell>
        </row>
      </sheetData>
      <sheetData sheetId="15" refreshError="1"/>
      <sheetData sheetId="16">
        <row r="1">
          <cell r="B1" t="str">
            <v>ESSAR OIL LIMITED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">
          <cell r="B1" t="str">
            <v>ESSAR OIL LIMITED</v>
          </cell>
        </row>
      </sheetData>
      <sheetData sheetId="31">
        <row r="1">
          <cell r="B1" t="str">
            <v>ESSAR OIL LIMITED</v>
          </cell>
        </row>
      </sheetData>
      <sheetData sheetId="32">
        <row r="1">
          <cell r="B1" t="str">
            <v>ESSAR OIL LIMITED</v>
          </cell>
        </row>
      </sheetData>
      <sheetData sheetId="33">
        <row r="1">
          <cell r="B1" t="str">
            <v>ESSAR OIL LIMITED</v>
          </cell>
        </row>
      </sheetData>
      <sheetData sheetId="34">
        <row r="1">
          <cell r="B1" t="str">
            <v>ESSAR OIL LIMITED</v>
          </cell>
        </row>
      </sheetData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Graph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G4:G11"/>
  <sheetViews>
    <sheetView showGridLines="0" workbookViewId="0"/>
  </sheetViews>
  <sheetFormatPr defaultColWidth="9.1796875" defaultRowHeight="23" x14ac:dyDescent="0.35"/>
  <cols>
    <col min="1" max="16384" width="9.1796875" style="2"/>
  </cols>
  <sheetData>
    <row r="4" spans="7:7" x14ac:dyDescent="0.35">
      <c r="G4" s="1" t="s">
        <v>0</v>
      </c>
    </row>
    <row r="5" spans="7:7" x14ac:dyDescent="0.35">
      <c r="G5" s="2" t="s">
        <v>1</v>
      </c>
    </row>
    <row r="6" spans="7:7" x14ac:dyDescent="0.35">
      <c r="G6" s="2" t="s">
        <v>2</v>
      </c>
    </row>
    <row r="7" spans="7:7" x14ac:dyDescent="0.35">
      <c r="G7" s="2" t="s">
        <v>3</v>
      </c>
    </row>
    <row r="8" spans="7:7" x14ac:dyDescent="0.35">
      <c r="G8" s="2" t="s">
        <v>4</v>
      </c>
    </row>
    <row r="9" spans="7:7" x14ac:dyDescent="0.35">
      <c r="G9" s="2" t="s">
        <v>5</v>
      </c>
    </row>
    <row r="10" spans="7:7" x14ac:dyDescent="0.35">
      <c r="G10" s="2" t="s">
        <v>6</v>
      </c>
    </row>
    <row r="11" spans="7:7" x14ac:dyDescent="0.35">
      <c r="G11" s="2" t="s">
        <v>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24"/>
  <sheetViews>
    <sheetView showGridLines="0" topLeftCell="A2" workbookViewId="0">
      <selection activeCell="D13" sqref="D13"/>
    </sheetView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4" style="5" customWidth="1"/>
    <col min="4" max="4" width="13.453125" style="5" customWidth="1"/>
    <col min="5" max="5" width="14" style="5" customWidth="1"/>
    <col min="6" max="6" width="17.26953125" style="5" customWidth="1"/>
    <col min="7" max="7" width="14" style="5" customWidth="1"/>
    <col min="8" max="8" width="16.54296875" style="5" customWidth="1"/>
    <col min="9" max="9" width="14" style="5" customWidth="1"/>
    <col min="10" max="10" width="13.453125" style="5" customWidth="1"/>
    <col min="11" max="11" width="9.1796875" style="5"/>
    <col min="12" max="12" width="28.453125" style="5" customWidth="1"/>
    <col min="13" max="13" width="14" style="5" customWidth="1"/>
    <col min="14" max="14" width="13.453125" style="5" customWidth="1"/>
    <col min="15" max="15" width="14" style="5" customWidth="1"/>
    <col min="16" max="16" width="17.26953125" style="5" customWidth="1"/>
    <col min="17" max="17" width="14" style="5" customWidth="1"/>
    <col min="18" max="18" width="16.54296875" style="5" customWidth="1"/>
    <col min="19" max="19" width="14" style="5" customWidth="1"/>
    <col min="20" max="20" width="13.453125" style="5" customWidth="1"/>
    <col min="21" max="21" width="9.1796875" style="5"/>
    <col min="22" max="22" width="28.453125" style="5" customWidth="1"/>
    <col min="23" max="23" width="14" style="5" customWidth="1"/>
    <col min="24" max="24" width="13.453125" style="5" customWidth="1"/>
    <col min="25" max="25" width="14" style="5" customWidth="1"/>
    <col min="26" max="26" width="17.26953125" style="5" customWidth="1"/>
    <col min="27" max="27" width="14" style="5" customWidth="1"/>
    <col min="28" max="28" width="16.54296875" style="5" customWidth="1"/>
    <col min="29" max="29" width="14" style="5" customWidth="1"/>
    <col min="30" max="30" width="13.453125" style="5" customWidth="1"/>
    <col min="31" max="31" width="9.1796875" style="5"/>
    <col min="32" max="32" width="28.453125" style="5" customWidth="1"/>
    <col min="33" max="33" width="14" style="5" customWidth="1"/>
    <col min="34" max="34" width="13.453125" style="5" customWidth="1"/>
    <col min="35" max="35" width="14" style="5" customWidth="1"/>
    <col min="36" max="36" width="17.26953125" style="5" customWidth="1"/>
    <col min="37" max="37" width="14" style="5" customWidth="1"/>
    <col min="38" max="38" width="16.54296875" style="5" customWidth="1"/>
    <col min="39" max="39" width="14" style="5" customWidth="1"/>
    <col min="40" max="40" width="13.453125" style="5" customWidth="1"/>
    <col min="41" max="41" width="9.1796875" style="5"/>
    <col min="42" max="42" width="28.453125" style="5" customWidth="1"/>
    <col min="43" max="43" width="14" style="5" customWidth="1"/>
    <col min="44" max="44" width="13.453125" style="5" customWidth="1"/>
    <col min="45" max="45" width="14" style="5" customWidth="1"/>
    <col min="46" max="46" width="17.26953125" style="5" customWidth="1"/>
    <col min="47" max="47" width="14" style="5" customWidth="1"/>
    <col min="48" max="48" width="16.54296875" style="5" customWidth="1"/>
    <col min="49" max="49" width="14" style="5" customWidth="1"/>
    <col min="50" max="50" width="13.453125" style="5" customWidth="1"/>
    <col min="51" max="51" width="9.1796875" style="5"/>
    <col min="52" max="52" width="28.453125" style="5" customWidth="1"/>
    <col min="53" max="53" width="14" style="5" customWidth="1"/>
    <col min="54" max="54" width="13.453125" style="5" customWidth="1"/>
    <col min="55" max="55" width="14" style="5" customWidth="1"/>
    <col min="56" max="56" width="17.26953125" style="5" customWidth="1"/>
    <col min="57" max="57" width="14" style="5" customWidth="1"/>
    <col min="58" max="58" width="16.54296875" style="5" customWidth="1"/>
    <col min="59" max="59" width="14" style="5" customWidth="1"/>
    <col min="60" max="60" width="13.453125" style="5" customWidth="1"/>
    <col min="61" max="16384" width="9.1796875" style="5"/>
  </cols>
  <sheetData>
    <row r="2" spans="2:60" x14ac:dyDescent="0.35">
      <c r="B2" s="3" t="s">
        <v>200</v>
      </c>
      <c r="E2" s="108"/>
      <c r="F2" s="108">
        <v>0.7</v>
      </c>
      <c r="L2" s="3" t="s">
        <v>201</v>
      </c>
      <c r="P2" s="108">
        <v>0.7</v>
      </c>
      <c r="V2" s="3" t="s">
        <v>202</v>
      </c>
      <c r="Z2" s="108">
        <v>0.7</v>
      </c>
      <c r="AF2" s="3" t="s">
        <v>203</v>
      </c>
      <c r="AJ2" s="108">
        <v>0.7</v>
      </c>
      <c r="AP2" s="3" t="s">
        <v>204</v>
      </c>
      <c r="AT2" s="108">
        <v>0.7</v>
      </c>
      <c r="AZ2" s="3" t="s">
        <v>205</v>
      </c>
      <c r="BD2" s="108">
        <v>0.7</v>
      </c>
    </row>
    <row r="3" spans="2:60" x14ac:dyDescent="0.35">
      <c r="B3" s="187" t="s">
        <v>170</v>
      </c>
      <c r="C3" s="187" t="s">
        <v>206</v>
      </c>
      <c r="D3" s="187"/>
      <c r="E3" s="187" t="s">
        <v>207</v>
      </c>
      <c r="F3" s="187"/>
      <c r="G3" s="187" t="s">
        <v>208</v>
      </c>
      <c r="H3" s="187"/>
      <c r="I3" s="187" t="s">
        <v>209</v>
      </c>
      <c r="J3" s="187"/>
      <c r="L3" s="187" t="s">
        <v>170</v>
      </c>
      <c r="M3" s="187" t="s">
        <v>206</v>
      </c>
      <c r="N3" s="187"/>
      <c r="O3" s="187" t="s">
        <v>210</v>
      </c>
      <c r="P3" s="187"/>
      <c r="Q3" s="187" t="s">
        <v>211</v>
      </c>
      <c r="R3" s="187"/>
      <c r="S3" s="187" t="s">
        <v>209</v>
      </c>
      <c r="T3" s="187"/>
      <c r="V3" s="187" t="s">
        <v>170</v>
      </c>
      <c r="W3" s="187" t="s">
        <v>206</v>
      </c>
      <c r="X3" s="187"/>
      <c r="Y3" s="187" t="s">
        <v>210</v>
      </c>
      <c r="Z3" s="187"/>
      <c r="AA3" s="187" t="s">
        <v>211</v>
      </c>
      <c r="AB3" s="187"/>
      <c r="AC3" s="187" t="s">
        <v>209</v>
      </c>
      <c r="AD3" s="187"/>
      <c r="AF3" s="187" t="s">
        <v>170</v>
      </c>
      <c r="AG3" s="187" t="s">
        <v>206</v>
      </c>
      <c r="AH3" s="187"/>
      <c r="AI3" s="187" t="s">
        <v>210</v>
      </c>
      <c r="AJ3" s="187"/>
      <c r="AK3" s="187" t="s">
        <v>211</v>
      </c>
      <c r="AL3" s="187"/>
      <c r="AM3" s="187" t="s">
        <v>209</v>
      </c>
      <c r="AN3" s="187"/>
      <c r="AP3" s="187" t="s">
        <v>170</v>
      </c>
      <c r="AQ3" s="187" t="s">
        <v>206</v>
      </c>
      <c r="AR3" s="187"/>
      <c r="AS3" s="187" t="s">
        <v>210</v>
      </c>
      <c r="AT3" s="187"/>
      <c r="AU3" s="187" t="s">
        <v>211</v>
      </c>
      <c r="AV3" s="187"/>
      <c r="AW3" s="187" t="s">
        <v>209</v>
      </c>
      <c r="AX3" s="187"/>
      <c r="AZ3" s="187" t="s">
        <v>170</v>
      </c>
      <c r="BA3" s="187" t="s">
        <v>206</v>
      </c>
      <c r="BB3" s="187"/>
      <c r="BC3" s="187" t="s">
        <v>210</v>
      </c>
      <c r="BD3" s="187"/>
      <c r="BE3" s="187" t="s">
        <v>211</v>
      </c>
      <c r="BF3" s="187"/>
      <c r="BG3" s="187" t="s">
        <v>209</v>
      </c>
      <c r="BH3" s="187"/>
    </row>
    <row r="4" spans="2:60" x14ac:dyDescent="0.35">
      <c r="B4" s="187"/>
      <c r="C4" s="6" t="s">
        <v>131</v>
      </c>
      <c r="D4" s="6" t="s">
        <v>132</v>
      </c>
      <c r="E4" s="6" t="s">
        <v>131</v>
      </c>
      <c r="F4" s="6" t="s">
        <v>132</v>
      </c>
      <c r="G4" s="6" t="s">
        <v>131</v>
      </c>
      <c r="H4" s="6" t="s">
        <v>132</v>
      </c>
      <c r="I4" s="6" t="s">
        <v>131</v>
      </c>
      <c r="J4" s="6" t="s">
        <v>132</v>
      </c>
      <c r="L4" s="187"/>
      <c r="M4" s="6" t="s">
        <v>131</v>
      </c>
      <c r="N4" s="6" t="s">
        <v>132</v>
      </c>
      <c r="O4" s="6" t="s">
        <v>131</v>
      </c>
      <c r="P4" s="6" t="s">
        <v>132</v>
      </c>
      <c r="Q4" s="6" t="s">
        <v>131</v>
      </c>
      <c r="R4" s="6" t="s">
        <v>132</v>
      </c>
      <c r="S4" s="6" t="s">
        <v>131</v>
      </c>
      <c r="T4" s="6" t="s">
        <v>132</v>
      </c>
      <c r="V4" s="187"/>
      <c r="W4" s="6" t="s">
        <v>131</v>
      </c>
      <c r="X4" s="6" t="s">
        <v>132</v>
      </c>
      <c r="Y4" s="6" t="s">
        <v>131</v>
      </c>
      <c r="Z4" s="6" t="s">
        <v>132</v>
      </c>
      <c r="AA4" s="6" t="s">
        <v>131</v>
      </c>
      <c r="AB4" s="6" t="s">
        <v>132</v>
      </c>
      <c r="AC4" s="6" t="s">
        <v>131</v>
      </c>
      <c r="AD4" s="6" t="s">
        <v>132</v>
      </c>
      <c r="AF4" s="187"/>
      <c r="AG4" s="6" t="s">
        <v>131</v>
      </c>
      <c r="AH4" s="6" t="s">
        <v>132</v>
      </c>
      <c r="AI4" s="6" t="s">
        <v>131</v>
      </c>
      <c r="AJ4" s="6" t="s">
        <v>132</v>
      </c>
      <c r="AK4" s="6" t="s">
        <v>131</v>
      </c>
      <c r="AL4" s="6" t="s">
        <v>132</v>
      </c>
      <c r="AM4" s="6" t="s">
        <v>131</v>
      </c>
      <c r="AN4" s="6" t="s">
        <v>132</v>
      </c>
      <c r="AP4" s="187"/>
      <c r="AQ4" s="6" t="s">
        <v>131</v>
      </c>
      <c r="AR4" s="6" t="s">
        <v>132</v>
      </c>
      <c r="AS4" s="6" t="s">
        <v>131</v>
      </c>
      <c r="AT4" s="6" t="s">
        <v>132</v>
      </c>
      <c r="AU4" s="6" t="s">
        <v>131</v>
      </c>
      <c r="AV4" s="6" t="s">
        <v>132</v>
      </c>
      <c r="AW4" s="6" t="s">
        <v>131</v>
      </c>
      <c r="AX4" s="6" t="s">
        <v>132</v>
      </c>
      <c r="AZ4" s="187"/>
      <c r="BA4" s="6" t="s">
        <v>131</v>
      </c>
      <c r="BB4" s="6" t="s">
        <v>132</v>
      </c>
      <c r="BC4" s="6" t="s">
        <v>131</v>
      </c>
      <c r="BD4" s="6" t="s">
        <v>132</v>
      </c>
      <c r="BE4" s="6" t="s">
        <v>131</v>
      </c>
      <c r="BF4" s="6" t="s">
        <v>132</v>
      </c>
      <c r="BG4" s="6" t="s">
        <v>131</v>
      </c>
      <c r="BH4" s="6" t="s">
        <v>132</v>
      </c>
    </row>
    <row r="5" spans="2:60" x14ac:dyDescent="0.35">
      <c r="B5" s="7" t="s">
        <v>43</v>
      </c>
      <c r="C5" s="9">
        <f>GFA!E24</f>
        <v>3.7132813119999999</v>
      </c>
      <c r="D5" s="9">
        <v>3.71</v>
      </c>
      <c r="E5" s="9">
        <v>2.5992969183999999</v>
      </c>
      <c r="F5" s="9">
        <f>D5*F$2</f>
        <v>2.597</v>
      </c>
      <c r="G5" s="9">
        <v>1.1139843936</v>
      </c>
      <c r="H5" s="9">
        <f>D5-F5</f>
        <v>1.113</v>
      </c>
      <c r="I5" s="9">
        <f>E5+G5</f>
        <v>3.7132813119999999</v>
      </c>
      <c r="J5" s="9">
        <f t="shared" ref="J5:J21" si="0">F5+H5</f>
        <v>3.71</v>
      </c>
      <c r="L5" s="7" t="s">
        <v>43</v>
      </c>
      <c r="M5" s="9">
        <f>GFA!M24</f>
        <v>6.1696998000000001</v>
      </c>
      <c r="N5" s="9">
        <v>6.17</v>
      </c>
      <c r="O5" s="9">
        <v>4.3187898599999999</v>
      </c>
      <c r="P5" s="9">
        <f>N5*P$2</f>
        <v>4.319</v>
      </c>
      <c r="Q5" s="9">
        <v>1.85090994</v>
      </c>
      <c r="R5" s="9">
        <f>N5-P5</f>
        <v>1.851</v>
      </c>
      <c r="S5" s="9">
        <f>O5+Q5</f>
        <v>6.1696998000000001</v>
      </c>
      <c r="T5" s="9">
        <f t="shared" ref="T5:T21" si="1">P5+R5</f>
        <v>6.17</v>
      </c>
      <c r="V5" s="7" t="s">
        <v>43</v>
      </c>
      <c r="W5" s="9">
        <f>GFA!U24</f>
        <v>1.8021503970000001</v>
      </c>
      <c r="X5" s="9">
        <v>1.8</v>
      </c>
      <c r="Y5" s="9">
        <v>1.2615052779</v>
      </c>
      <c r="Z5" s="9">
        <f>X5*Z$2</f>
        <v>1.26</v>
      </c>
      <c r="AA5" s="9">
        <v>0.54064511910000002</v>
      </c>
      <c r="AB5" s="9">
        <f>X5-Z5</f>
        <v>0.54</v>
      </c>
      <c r="AC5" s="9">
        <f>Y5+AA5</f>
        <v>1.8021503970000001</v>
      </c>
      <c r="AD5" s="9">
        <f t="shared" ref="AD5:AD21" si="2">Z5+AB5</f>
        <v>1.8</v>
      </c>
      <c r="AF5" s="7" t="s">
        <v>43</v>
      </c>
      <c r="AG5" s="9">
        <f>GFA!AC24</f>
        <v>0</v>
      </c>
      <c r="AH5" s="9">
        <v>0</v>
      </c>
      <c r="AI5" s="9">
        <v>0</v>
      </c>
      <c r="AJ5" s="9">
        <f>AH5*AJ$2</f>
        <v>0</v>
      </c>
      <c r="AK5" s="9">
        <v>0</v>
      </c>
      <c r="AL5" s="9">
        <f>AH5-AJ5</f>
        <v>0</v>
      </c>
      <c r="AM5" s="9">
        <f>AI5+AK5</f>
        <v>0</v>
      </c>
      <c r="AN5" s="9">
        <f t="shared" ref="AN5:AN21" si="3">AJ5+AL5</f>
        <v>0</v>
      </c>
      <c r="AP5" s="7" t="s">
        <v>43</v>
      </c>
      <c r="AQ5" s="9">
        <f>GFA!AK24</f>
        <v>5.54</v>
      </c>
      <c r="AR5" s="9">
        <v>5.54</v>
      </c>
      <c r="AS5" s="9">
        <v>3.8779999999999997</v>
      </c>
      <c r="AT5" s="9">
        <f>AR5*AT$2</f>
        <v>3.8779999999999997</v>
      </c>
      <c r="AU5" s="9">
        <v>1.6619999999999999</v>
      </c>
      <c r="AV5" s="9">
        <f>AR5-AT5</f>
        <v>1.6620000000000004</v>
      </c>
      <c r="AW5" s="9">
        <f>AS5+AU5</f>
        <v>5.5399999999999991</v>
      </c>
      <c r="AX5" s="9">
        <f t="shared" ref="AX5:AX21" si="4">AT5+AV5</f>
        <v>5.54</v>
      </c>
      <c r="AZ5" s="7" t="s">
        <v>43</v>
      </c>
      <c r="BA5" s="9">
        <f>GFA!AS24</f>
        <v>0</v>
      </c>
      <c r="BB5" s="9">
        <v>0</v>
      </c>
      <c r="BC5" s="9">
        <v>0</v>
      </c>
      <c r="BD5" s="9">
        <f>BB5*BD$2</f>
        <v>0</v>
      </c>
      <c r="BE5" s="9">
        <v>0</v>
      </c>
      <c r="BF5" s="9">
        <f>BB5-BD5</f>
        <v>0</v>
      </c>
      <c r="BG5" s="9">
        <f>BC5+BE5</f>
        <v>0</v>
      </c>
      <c r="BH5" s="9">
        <f t="shared" ref="BH5:BH21" si="5">BD5+BF5</f>
        <v>0</v>
      </c>
    </row>
    <row r="6" spans="2:60" x14ac:dyDescent="0.35">
      <c r="B6" s="7" t="s">
        <v>150</v>
      </c>
      <c r="C6" s="9">
        <f>GFA!E43</f>
        <v>54.122764410000002</v>
      </c>
      <c r="D6" s="9">
        <v>54.118562024000006</v>
      </c>
      <c r="E6" s="9">
        <v>37.885935087</v>
      </c>
      <c r="F6" s="9">
        <f>D6*F$2</f>
        <v>37.882993416800005</v>
      </c>
      <c r="G6" s="9">
        <v>16.236829322999998</v>
      </c>
      <c r="H6" s="9">
        <f t="shared" ref="H6:H21" si="6">D6-F6</f>
        <v>16.235568607200001</v>
      </c>
      <c r="I6" s="9">
        <f t="shared" ref="I6:I21" si="7">E6+G6</f>
        <v>54.122764410000002</v>
      </c>
      <c r="J6" s="9">
        <f t="shared" si="0"/>
        <v>54.118562024000006</v>
      </c>
      <c r="L6" s="7" t="s">
        <v>150</v>
      </c>
      <c r="M6" s="9">
        <f>GFA!M43</f>
        <v>59.891526634000009</v>
      </c>
      <c r="N6" s="9">
        <v>59.891526191000004</v>
      </c>
      <c r="O6" s="9">
        <v>41.924068643800005</v>
      </c>
      <c r="P6" s="9">
        <f>N6*P$2</f>
        <v>41.924068333699999</v>
      </c>
      <c r="Q6" s="9">
        <v>17.967457990200003</v>
      </c>
      <c r="R6" s="9">
        <f t="shared" ref="R6:R21" si="8">N6-P6</f>
        <v>17.967457857300005</v>
      </c>
      <c r="S6" s="9">
        <f t="shared" ref="S6:S21" si="9">O6+Q6</f>
        <v>59.891526634000009</v>
      </c>
      <c r="T6" s="9">
        <f t="shared" si="1"/>
        <v>59.891526191000004</v>
      </c>
      <c r="V6" s="7" t="s">
        <v>150</v>
      </c>
      <c r="W6" s="9">
        <f>GFA!U43</f>
        <v>397.57917088399984</v>
      </c>
      <c r="X6" s="9">
        <v>364.79917030600001</v>
      </c>
      <c r="Y6" s="9">
        <v>278.30541961879987</v>
      </c>
      <c r="Z6" s="9">
        <f>X6*Z$2</f>
        <v>255.35941921419999</v>
      </c>
      <c r="AA6" s="9">
        <v>119.27375126519995</v>
      </c>
      <c r="AB6" s="9">
        <f t="shared" ref="AB6:AB21" si="10">X6-Z6</f>
        <v>109.43975109180002</v>
      </c>
      <c r="AC6" s="9">
        <f t="shared" ref="AC6:AC21" si="11">Y6+AA6</f>
        <v>397.57917088399984</v>
      </c>
      <c r="AD6" s="9">
        <f t="shared" si="2"/>
        <v>364.79917030600001</v>
      </c>
      <c r="AF6" s="7" t="s">
        <v>150</v>
      </c>
      <c r="AG6" s="9">
        <f>GFA!AC43</f>
        <v>211.89</v>
      </c>
      <c r="AH6" s="9">
        <v>199.16859312299999</v>
      </c>
      <c r="AI6" s="9">
        <v>148.32299999999998</v>
      </c>
      <c r="AJ6" s="9">
        <f>AH6*AJ$2</f>
        <v>139.41801518609998</v>
      </c>
      <c r="AK6" s="9">
        <v>63.566999999999993</v>
      </c>
      <c r="AL6" s="9">
        <f t="shared" ref="AL6:AL21" si="12">AH6-AJ6</f>
        <v>59.750577936900015</v>
      </c>
      <c r="AM6" s="9">
        <f t="shared" ref="AM6:AM21" si="13">AI6+AK6</f>
        <v>211.89</v>
      </c>
      <c r="AN6" s="9">
        <f t="shared" si="3"/>
        <v>199.16859312299999</v>
      </c>
      <c r="AP6" s="7" t="s">
        <v>150</v>
      </c>
      <c r="AQ6" s="9">
        <f>GFA!AK43</f>
        <v>411.92</v>
      </c>
      <c r="AR6" s="9">
        <v>149.45147759999998</v>
      </c>
      <c r="AS6" s="9">
        <v>288.34399999999999</v>
      </c>
      <c r="AT6" s="9">
        <f>AR6*AT$2</f>
        <v>104.61603431999998</v>
      </c>
      <c r="AU6" s="9">
        <v>123.57599999999999</v>
      </c>
      <c r="AV6" s="9">
        <f t="shared" ref="AV6:AV21" si="14">AR6-AT6</f>
        <v>44.835443279999993</v>
      </c>
      <c r="AW6" s="9">
        <f t="shared" ref="AW6:AW21" si="15">AS6+AU6</f>
        <v>411.91999999999996</v>
      </c>
      <c r="AX6" s="9">
        <f t="shared" si="4"/>
        <v>149.45147759999998</v>
      </c>
      <c r="AZ6" s="7" t="s">
        <v>150</v>
      </c>
      <c r="BA6" s="9">
        <f>GFA!AS43</f>
        <v>1710.56</v>
      </c>
      <c r="BB6" s="9">
        <v>920.42908907900005</v>
      </c>
      <c r="BC6" s="9">
        <v>1197.3919999999998</v>
      </c>
      <c r="BD6" s="9">
        <f>BB6*BD$2</f>
        <v>644.30036235529997</v>
      </c>
      <c r="BE6" s="9">
        <v>513.16800000000001</v>
      </c>
      <c r="BF6" s="9">
        <f t="shared" ref="BF6:BF21" si="16">BB6-BD6</f>
        <v>276.12872672370008</v>
      </c>
      <c r="BG6" s="9">
        <f t="shared" ref="BG6:BG21" si="17">BC6+BE6</f>
        <v>1710.56</v>
      </c>
      <c r="BH6" s="9">
        <f t="shared" si="5"/>
        <v>920.42908907900005</v>
      </c>
    </row>
    <row r="7" spans="2:60" x14ac:dyDescent="0.35">
      <c r="B7" s="7" t="s">
        <v>151</v>
      </c>
      <c r="C7" s="9">
        <f>GFA!E62</f>
        <v>12.006206224</v>
      </c>
      <c r="D7" s="9">
        <v>12.010000000000002</v>
      </c>
      <c r="E7" s="9">
        <v>8.4043443567999994</v>
      </c>
      <c r="F7" s="9">
        <f t="shared" ref="F7:F21" si="18">D7*F$2</f>
        <v>8.407</v>
      </c>
      <c r="G7" s="9">
        <v>3.6018618671999998</v>
      </c>
      <c r="H7" s="9">
        <f t="shared" si="6"/>
        <v>3.6030000000000015</v>
      </c>
      <c r="I7" s="9">
        <f t="shared" si="7"/>
        <v>12.006206224</v>
      </c>
      <c r="J7" s="9">
        <f t="shared" si="0"/>
        <v>12.010000000000002</v>
      </c>
      <c r="L7" s="7" t="s">
        <v>151</v>
      </c>
      <c r="M7" s="9">
        <f>GFA!M62</f>
        <v>13.956313992</v>
      </c>
      <c r="N7" s="9">
        <v>13.77</v>
      </c>
      <c r="O7" s="9">
        <v>9.7694197943999992</v>
      </c>
      <c r="P7" s="9">
        <f t="shared" ref="P7:P21" si="19">N7*P$2</f>
        <v>9.6389999999999993</v>
      </c>
      <c r="Q7" s="9">
        <v>4.1868941976</v>
      </c>
      <c r="R7" s="9">
        <f t="shared" si="8"/>
        <v>4.1310000000000002</v>
      </c>
      <c r="S7" s="9">
        <f t="shared" si="9"/>
        <v>13.956313991999998</v>
      </c>
      <c r="T7" s="9">
        <f t="shared" si="1"/>
        <v>13.77</v>
      </c>
      <c r="V7" s="7" t="s">
        <v>151</v>
      </c>
      <c r="W7" s="9">
        <f>GFA!U62</f>
        <v>33.249714213000004</v>
      </c>
      <c r="X7" s="9">
        <v>33.239999999999995</v>
      </c>
      <c r="Y7" s="9">
        <v>23.2747999491</v>
      </c>
      <c r="Z7" s="9">
        <f t="shared" ref="Z7:Z21" si="20">X7*Z$2</f>
        <v>23.267999999999994</v>
      </c>
      <c r="AA7" s="9">
        <v>9.9749142639000006</v>
      </c>
      <c r="AB7" s="9">
        <f t="shared" si="10"/>
        <v>9.9720000000000013</v>
      </c>
      <c r="AC7" s="9">
        <f t="shared" si="11"/>
        <v>33.249714213000004</v>
      </c>
      <c r="AD7" s="9">
        <f t="shared" si="2"/>
        <v>33.239999999999995</v>
      </c>
      <c r="AF7" s="7" t="s">
        <v>151</v>
      </c>
      <c r="AG7" s="9">
        <f>GFA!AC62</f>
        <v>45.77</v>
      </c>
      <c r="AH7" s="9">
        <v>45.77</v>
      </c>
      <c r="AI7" s="9">
        <v>32.039000000000001</v>
      </c>
      <c r="AJ7" s="9">
        <f t="shared" ref="AJ7:AJ21" si="21">AH7*AJ$2</f>
        <v>32.039000000000001</v>
      </c>
      <c r="AK7" s="9">
        <v>13.731</v>
      </c>
      <c r="AL7" s="9">
        <f t="shared" si="12"/>
        <v>13.731000000000002</v>
      </c>
      <c r="AM7" s="9">
        <f t="shared" si="13"/>
        <v>45.77</v>
      </c>
      <c r="AN7" s="9">
        <f t="shared" si="3"/>
        <v>45.77</v>
      </c>
      <c r="AP7" s="7" t="s">
        <v>151</v>
      </c>
      <c r="AQ7" s="9">
        <f>GFA!AK62</f>
        <v>649.54</v>
      </c>
      <c r="AR7" s="9">
        <v>421.13</v>
      </c>
      <c r="AS7" s="9">
        <v>454.67799999999994</v>
      </c>
      <c r="AT7" s="9">
        <f t="shared" ref="AT7:AT21" si="22">AR7*AT$2</f>
        <v>294.791</v>
      </c>
      <c r="AU7" s="9">
        <v>194.86199999999999</v>
      </c>
      <c r="AV7" s="9">
        <f t="shared" si="14"/>
        <v>126.339</v>
      </c>
      <c r="AW7" s="9">
        <f t="shared" si="15"/>
        <v>649.54</v>
      </c>
      <c r="AX7" s="9">
        <f t="shared" si="4"/>
        <v>421.13</v>
      </c>
      <c r="AZ7" s="7" t="s">
        <v>151</v>
      </c>
      <c r="BA7" s="9">
        <f>GFA!AS62</f>
        <v>356.29</v>
      </c>
      <c r="BB7" s="9">
        <v>101.01282827980815</v>
      </c>
      <c r="BC7" s="9">
        <v>249.40299999999999</v>
      </c>
      <c r="BD7" s="9">
        <f t="shared" ref="BD7:BD21" si="23">BB7*BD$2</f>
        <v>70.708979795865702</v>
      </c>
      <c r="BE7" s="9">
        <v>106.887</v>
      </c>
      <c r="BF7" s="9">
        <f t="shared" si="16"/>
        <v>30.303848483942446</v>
      </c>
      <c r="BG7" s="9">
        <f t="shared" si="17"/>
        <v>356.28999999999996</v>
      </c>
      <c r="BH7" s="9">
        <f t="shared" si="5"/>
        <v>101.01282827980815</v>
      </c>
    </row>
    <row r="8" spans="2:60" x14ac:dyDescent="0.35">
      <c r="B8" s="7" t="s">
        <v>44</v>
      </c>
      <c r="C8" s="9">
        <f>GFA!E81</f>
        <v>41.250449254999992</v>
      </c>
      <c r="D8" s="9">
        <v>40.620000000000005</v>
      </c>
      <c r="E8" s="9">
        <v>28.875314478499991</v>
      </c>
      <c r="F8" s="9">
        <f t="shared" si="18"/>
        <v>28.434000000000001</v>
      </c>
      <c r="G8" s="9">
        <v>12.375134776499998</v>
      </c>
      <c r="H8" s="9">
        <f t="shared" si="6"/>
        <v>12.186000000000003</v>
      </c>
      <c r="I8" s="9">
        <f t="shared" si="7"/>
        <v>41.250449254999992</v>
      </c>
      <c r="J8" s="9">
        <f t="shared" si="0"/>
        <v>40.620000000000005</v>
      </c>
      <c r="L8" s="7" t="s">
        <v>44</v>
      </c>
      <c r="M8" s="9">
        <f>GFA!M81</f>
        <v>112.30323899500002</v>
      </c>
      <c r="N8" s="9">
        <v>107.83134720900001</v>
      </c>
      <c r="O8" s="9">
        <v>78.612267296500008</v>
      </c>
      <c r="P8" s="9">
        <f t="shared" si="19"/>
        <v>75.481943046300003</v>
      </c>
      <c r="Q8" s="9">
        <v>33.6909716985</v>
      </c>
      <c r="R8" s="9">
        <f t="shared" si="8"/>
        <v>32.349404162700012</v>
      </c>
      <c r="S8" s="9">
        <f t="shared" si="9"/>
        <v>112.30323899500002</v>
      </c>
      <c r="T8" s="9">
        <f t="shared" si="1"/>
        <v>107.83134720900001</v>
      </c>
      <c r="V8" s="7" t="s">
        <v>44</v>
      </c>
      <c r="W8" s="9">
        <f>GFA!U81</f>
        <v>8.6680870119999991</v>
      </c>
      <c r="X8" s="9">
        <v>8.67</v>
      </c>
      <c r="Y8" s="9">
        <v>6.0676609083999988</v>
      </c>
      <c r="Z8" s="9">
        <f t="shared" si="20"/>
        <v>6.069</v>
      </c>
      <c r="AA8" s="9">
        <v>2.6004261035999998</v>
      </c>
      <c r="AB8" s="9">
        <f t="shared" si="10"/>
        <v>2.601</v>
      </c>
      <c r="AC8" s="9">
        <f t="shared" si="11"/>
        <v>8.6680870119999991</v>
      </c>
      <c r="AD8" s="9">
        <f t="shared" si="2"/>
        <v>8.67</v>
      </c>
      <c r="AF8" s="7" t="s">
        <v>44</v>
      </c>
      <c r="AG8" s="9">
        <f>GFA!AC81</f>
        <v>49.47</v>
      </c>
      <c r="AH8" s="9">
        <v>48.269099999999995</v>
      </c>
      <c r="AI8" s="9">
        <v>34.628999999999998</v>
      </c>
      <c r="AJ8" s="9">
        <f t="shared" si="21"/>
        <v>33.788369999999993</v>
      </c>
      <c r="AK8" s="9">
        <v>14.840999999999999</v>
      </c>
      <c r="AL8" s="9">
        <f t="shared" si="12"/>
        <v>14.480730000000001</v>
      </c>
      <c r="AM8" s="9">
        <f t="shared" si="13"/>
        <v>49.47</v>
      </c>
      <c r="AN8" s="9">
        <f t="shared" si="3"/>
        <v>48.269099999999995</v>
      </c>
      <c r="AP8" s="7" t="s">
        <v>44</v>
      </c>
      <c r="AQ8" s="9">
        <f>GFA!AK81</f>
        <v>120.3</v>
      </c>
      <c r="AR8" s="9">
        <v>88.809999999999988</v>
      </c>
      <c r="AS8" s="9">
        <v>84.21</v>
      </c>
      <c r="AT8" s="9">
        <f t="shared" si="22"/>
        <v>62.166999999999987</v>
      </c>
      <c r="AU8" s="9">
        <v>36.089999999999996</v>
      </c>
      <c r="AV8" s="9">
        <f t="shared" si="14"/>
        <v>26.643000000000001</v>
      </c>
      <c r="AW8" s="9">
        <f t="shared" si="15"/>
        <v>120.29999999999998</v>
      </c>
      <c r="AX8" s="9">
        <f t="shared" si="4"/>
        <v>88.809999999999988</v>
      </c>
      <c r="AZ8" s="7" t="s">
        <v>44</v>
      </c>
      <c r="BA8" s="9">
        <f>GFA!AS81</f>
        <v>251.45</v>
      </c>
      <c r="BB8" s="9">
        <v>0</v>
      </c>
      <c r="BC8" s="9">
        <v>176.01499999999999</v>
      </c>
      <c r="BD8" s="9">
        <f t="shared" si="23"/>
        <v>0</v>
      </c>
      <c r="BE8" s="9">
        <v>75.434999999999988</v>
      </c>
      <c r="BF8" s="9">
        <f t="shared" si="16"/>
        <v>0</v>
      </c>
      <c r="BG8" s="9">
        <f t="shared" si="17"/>
        <v>251.45</v>
      </c>
      <c r="BH8" s="9">
        <f t="shared" si="5"/>
        <v>0</v>
      </c>
    </row>
    <row r="9" spans="2:60" x14ac:dyDescent="0.35">
      <c r="B9" s="7" t="s">
        <v>152</v>
      </c>
      <c r="C9" s="9">
        <f>GFA!E100</f>
        <v>34.474165800000002</v>
      </c>
      <c r="D9" s="9">
        <v>34.472755448999997</v>
      </c>
      <c r="E9" s="9">
        <v>24.131916059999998</v>
      </c>
      <c r="F9" s="9">
        <f t="shared" si="18"/>
        <v>24.130928814299995</v>
      </c>
      <c r="G9" s="9">
        <v>10.34224974</v>
      </c>
      <c r="H9" s="9">
        <f t="shared" si="6"/>
        <v>10.341826634700002</v>
      </c>
      <c r="I9" s="9">
        <f t="shared" si="7"/>
        <v>34.474165799999994</v>
      </c>
      <c r="J9" s="9">
        <f t="shared" si="0"/>
        <v>34.472755448999997</v>
      </c>
      <c r="L9" s="7" t="s">
        <v>152</v>
      </c>
      <c r="M9" s="9">
        <f>GFA!M100</f>
        <v>5.2500969</v>
      </c>
      <c r="N9" s="9">
        <v>3.7639175140000001</v>
      </c>
      <c r="O9" s="9">
        <v>3.6750678299999997</v>
      </c>
      <c r="P9" s="9">
        <f t="shared" si="19"/>
        <v>2.6347422597999999</v>
      </c>
      <c r="Q9" s="9">
        <v>1.57502907</v>
      </c>
      <c r="R9" s="9">
        <f t="shared" si="8"/>
        <v>1.1291752542000002</v>
      </c>
      <c r="S9" s="9">
        <f t="shared" si="9"/>
        <v>5.2500969</v>
      </c>
      <c r="T9" s="9">
        <f t="shared" si="1"/>
        <v>3.7639175140000001</v>
      </c>
      <c r="V9" s="7" t="s">
        <v>152</v>
      </c>
      <c r="W9" s="9">
        <f>GFA!U100</f>
        <v>10.035536499999999</v>
      </c>
      <c r="X9" s="9">
        <v>10.037937731</v>
      </c>
      <c r="Y9" s="9">
        <v>7.0248755499999991</v>
      </c>
      <c r="Z9" s="9">
        <f t="shared" si="20"/>
        <v>7.0265564116999988</v>
      </c>
      <c r="AA9" s="9">
        <v>3.0106609499999997</v>
      </c>
      <c r="AB9" s="9">
        <f t="shared" si="10"/>
        <v>3.0113813193000007</v>
      </c>
      <c r="AC9" s="9">
        <f t="shared" si="11"/>
        <v>10.035536499999999</v>
      </c>
      <c r="AD9" s="9">
        <f t="shared" si="2"/>
        <v>10.037937731</v>
      </c>
      <c r="AF9" s="7" t="s">
        <v>152</v>
      </c>
      <c r="AG9" s="9">
        <f>GFA!AC100</f>
        <v>6.19</v>
      </c>
      <c r="AH9" s="9">
        <v>6.19</v>
      </c>
      <c r="AI9" s="9">
        <v>4.3330000000000002</v>
      </c>
      <c r="AJ9" s="9">
        <f t="shared" si="21"/>
        <v>4.3330000000000002</v>
      </c>
      <c r="AK9" s="9">
        <v>1.857</v>
      </c>
      <c r="AL9" s="9">
        <f t="shared" si="12"/>
        <v>1.8570000000000002</v>
      </c>
      <c r="AM9" s="9">
        <f t="shared" si="13"/>
        <v>6.19</v>
      </c>
      <c r="AN9" s="9">
        <f t="shared" si="3"/>
        <v>6.19</v>
      </c>
      <c r="AP9" s="7" t="s">
        <v>152</v>
      </c>
      <c r="AQ9" s="9">
        <f>GFA!AK100</f>
        <v>49.98</v>
      </c>
      <c r="AR9" s="9">
        <v>29.759999999999998</v>
      </c>
      <c r="AS9" s="9">
        <v>34.985999999999997</v>
      </c>
      <c r="AT9" s="9">
        <f t="shared" si="22"/>
        <v>20.831999999999997</v>
      </c>
      <c r="AU9" s="9">
        <v>14.993999999999998</v>
      </c>
      <c r="AV9" s="9">
        <f t="shared" si="14"/>
        <v>8.9280000000000008</v>
      </c>
      <c r="AW9" s="9">
        <f t="shared" si="15"/>
        <v>49.98</v>
      </c>
      <c r="AX9" s="9">
        <f t="shared" si="4"/>
        <v>29.759999999999998</v>
      </c>
      <c r="AZ9" s="7" t="s">
        <v>152</v>
      </c>
      <c r="BA9" s="9">
        <f>GFA!AS100</f>
        <v>83.04</v>
      </c>
      <c r="BB9" s="9">
        <v>10.719999999999999</v>
      </c>
      <c r="BC9" s="9">
        <v>58.128</v>
      </c>
      <c r="BD9" s="9">
        <f t="shared" si="23"/>
        <v>7.5039999999999987</v>
      </c>
      <c r="BE9" s="9">
        <v>24.912000000000003</v>
      </c>
      <c r="BF9" s="9">
        <f t="shared" si="16"/>
        <v>3.2160000000000002</v>
      </c>
      <c r="BG9" s="9">
        <f t="shared" si="17"/>
        <v>83.04</v>
      </c>
      <c r="BH9" s="9">
        <f t="shared" si="5"/>
        <v>10.719999999999999</v>
      </c>
    </row>
    <row r="10" spans="2:60" x14ac:dyDescent="0.35">
      <c r="B10" s="7" t="s">
        <v>154</v>
      </c>
      <c r="C10" s="9">
        <f>GFA!E138</f>
        <v>0.87431809999999988</v>
      </c>
      <c r="D10" s="9">
        <v>0.87431812699999989</v>
      </c>
      <c r="E10" s="9">
        <v>0.61202266999999988</v>
      </c>
      <c r="F10" s="9">
        <f t="shared" si="18"/>
        <v>0.61202268889999989</v>
      </c>
      <c r="G10" s="9">
        <v>0.26229542999999994</v>
      </c>
      <c r="H10" s="9">
        <f t="shared" si="6"/>
        <v>0.2622954381</v>
      </c>
      <c r="I10" s="9">
        <f t="shared" si="7"/>
        <v>0.87431809999999976</v>
      </c>
      <c r="J10" s="9">
        <f t="shared" si="0"/>
        <v>0.87431812699999989</v>
      </c>
      <c r="L10" s="7" t="s">
        <v>154</v>
      </c>
      <c r="M10" s="9">
        <f>GFA!M138</f>
        <v>8.1844828499999984</v>
      </c>
      <c r="N10" s="9">
        <v>8.1829763999999976</v>
      </c>
      <c r="O10" s="9">
        <v>5.7291379949999985</v>
      </c>
      <c r="P10" s="9">
        <f t="shared" si="19"/>
        <v>5.7280834799999978</v>
      </c>
      <c r="Q10" s="9">
        <v>2.4553448549999994</v>
      </c>
      <c r="R10" s="9">
        <f t="shared" si="8"/>
        <v>2.4548929199999998</v>
      </c>
      <c r="S10" s="9">
        <f t="shared" si="9"/>
        <v>8.1844828499999984</v>
      </c>
      <c r="T10" s="9">
        <f t="shared" si="1"/>
        <v>8.1829763999999976</v>
      </c>
      <c r="V10" s="7" t="s">
        <v>154</v>
      </c>
      <c r="W10" s="9">
        <f>GFA!U138</f>
        <v>0.1542174</v>
      </c>
      <c r="X10" s="9">
        <v>0.15421749400000004</v>
      </c>
      <c r="Y10" s="9">
        <v>0.10795217999999999</v>
      </c>
      <c r="Z10" s="9">
        <f t="shared" si="20"/>
        <v>0.10795224580000003</v>
      </c>
      <c r="AA10" s="9">
        <v>4.6265220000000003E-2</v>
      </c>
      <c r="AB10" s="9">
        <f t="shared" si="10"/>
        <v>4.6265248200000011E-2</v>
      </c>
      <c r="AC10" s="9">
        <f t="shared" si="11"/>
        <v>0.1542174</v>
      </c>
      <c r="AD10" s="9">
        <f t="shared" si="2"/>
        <v>0.15421749400000004</v>
      </c>
      <c r="AF10" s="7" t="s">
        <v>154</v>
      </c>
      <c r="AG10" s="9">
        <f>GFA!AC138</f>
        <v>34.549999999999997</v>
      </c>
      <c r="AH10" s="9">
        <v>34.549999999999997</v>
      </c>
      <c r="AI10" s="9">
        <v>24.184999999999995</v>
      </c>
      <c r="AJ10" s="9">
        <f t="shared" si="21"/>
        <v>24.184999999999995</v>
      </c>
      <c r="AK10" s="9">
        <v>10.364999999999998</v>
      </c>
      <c r="AL10" s="9">
        <f t="shared" si="12"/>
        <v>10.365000000000002</v>
      </c>
      <c r="AM10" s="9">
        <f t="shared" si="13"/>
        <v>34.549999999999997</v>
      </c>
      <c r="AN10" s="9">
        <f t="shared" si="3"/>
        <v>34.549999999999997</v>
      </c>
      <c r="AP10" s="7" t="s">
        <v>154</v>
      </c>
      <c r="AQ10" s="9">
        <f>GFA!AK138</f>
        <v>114.04</v>
      </c>
      <c r="AR10" s="9">
        <v>114.04999999999998</v>
      </c>
      <c r="AS10" s="9">
        <v>79.828000000000003</v>
      </c>
      <c r="AT10" s="9">
        <f t="shared" si="22"/>
        <v>79.83499999999998</v>
      </c>
      <c r="AU10" s="9">
        <v>34.212000000000003</v>
      </c>
      <c r="AV10" s="9">
        <f t="shared" si="14"/>
        <v>34.215000000000003</v>
      </c>
      <c r="AW10" s="9">
        <f t="shared" si="15"/>
        <v>114.04</v>
      </c>
      <c r="AX10" s="9">
        <f t="shared" si="4"/>
        <v>114.04999999999998</v>
      </c>
      <c r="AZ10" s="7" t="s">
        <v>154</v>
      </c>
      <c r="BA10" s="9">
        <f>GFA!AS138</f>
        <v>25.67</v>
      </c>
      <c r="BB10" s="9">
        <v>8.5</v>
      </c>
      <c r="BC10" s="9">
        <v>17.969000000000001</v>
      </c>
      <c r="BD10" s="9">
        <f t="shared" si="23"/>
        <v>5.9499999999999993</v>
      </c>
      <c r="BE10" s="9">
        <v>7.7010000000000005</v>
      </c>
      <c r="BF10" s="9">
        <f t="shared" si="16"/>
        <v>2.5500000000000007</v>
      </c>
      <c r="BG10" s="9">
        <f t="shared" si="17"/>
        <v>25.67</v>
      </c>
      <c r="BH10" s="9">
        <f t="shared" si="5"/>
        <v>8.5</v>
      </c>
    </row>
    <row r="11" spans="2:60" x14ac:dyDescent="0.35">
      <c r="B11" s="7" t="s">
        <v>155</v>
      </c>
      <c r="C11" s="9">
        <f>GFA!E157</f>
        <v>10.766558295000001</v>
      </c>
      <c r="D11" s="9">
        <v>9.52</v>
      </c>
      <c r="E11" s="9">
        <v>7.5365908065000005</v>
      </c>
      <c r="F11" s="9">
        <f t="shared" si="18"/>
        <v>6.6639999999999997</v>
      </c>
      <c r="G11" s="9">
        <v>3.2299674885000003</v>
      </c>
      <c r="H11" s="9">
        <f t="shared" si="6"/>
        <v>2.8559999999999999</v>
      </c>
      <c r="I11" s="9">
        <f t="shared" si="7"/>
        <v>10.766558295000001</v>
      </c>
      <c r="J11" s="9">
        <f t="shared" si="0"/>
        <v>9.52</v>
      </c>
      <c r="L11" s="7" t="s">
        <v>155</v>
      </c>
      <c r="M11" s="9">
        <f>GFA!M157</f>
        <v>11.783137381</v>
      </c>
      <c r="N11" s="9">
        <v>9.9400000000000013</v>
      </c>
      <c r="O11" s="9">
        <v>8.2481961666999997</v>
      </c>
      <c r="P11" s="9">
        <f t="shared" si="19"/>
        <v>6.9580000000000002</v>
      </c>
      <c r="Q11" s="9">
        <v>3.5349412142999999</v>
      </c>
      <c r="R11" s="9">
        <f t="shared" si="8"/>
        <v>2.9820000000000011</v>
      </c>
      <c r="S11" s="9">
        <f t="shared" si="9"/>
        <v>11.783137381</v>
      </c>
      <c r="T11" s="9">
        <f t="shared" si="1"/>
        <v>9.9400000000000013</v>
      </c>
      <c r="V11" s="7" t="s">
        <v>155</v>
      </c>
      <c r="W11" s="9">
        <f>GFA!U157</f>
        <v>26.950981147000004</v>
      </c>
      <c r="X11" s="9">
        <v>22.711359599999998</v>
      </c>
      <c r="Y11" s="9">
        <v>18.865686802900001</v>
      </c>
      <c r="Z11" s="9">
        <f t="shared" si="20"/>
        <v>15.897951719999998</v>
      </c>
      <c r="AA11" s="9">
        <v>8.0852943441000011</v>
      </c>
      <c r="AB11" s="9">
        <f t="shared" si="10"/>
        <v>6.8134078799999997</v>
      </c>
      <c r="AC11" s="9">
        <f t="shared" si="11"/>
        <v>26.950981147</v>
      </c>
      <c r="AD11" s="9">
        <f t="shared" si="2"/>
        <v>22.711359599999998</v>
      </c>
      <c r="AF11" s="7" t="s">
        <v>155</v>
      </c>
      <c r="AG11" s="9">
        <f>GFA!AC157</f>
        <v>82.64</v>
      </c>
      <c r="AH11" s="9">
        <v>82.562637080000016</v>
      </c>
      <c r="AI11" s="9">
        <v>57.847999999999999</v>
      </c>
      <c r="AJ11" s="9">
        <f t="shared" si="21"/>
        <v>57.793845956000006</v>
      </c>
      <c r="AK11" s="9">
        <v>24.791999999999998</v>
      </c>
      <c r="AL11" s="9">
        <f t="shared" si="12"/>
        <v>24.76879112400001</v>
      </c>
      <c r="AM11" s="9">
        <f t="shared" si="13"/>
        <v>82.64</v>
      </c>
      <c r="AN11" s="9">
        <f t="shared" si="3"/>
        <v>82.562637080000016</v>
      </c>
      <c r="AP11" s="7" t="s">
        <v>155</v>
      </c>
      <c r="AQ11" s="9">
        <f>GFA!AK157</f>
        <v>49.14</v>
      </c>
      <c r="AR11" s="9">
        <v>44.95</v>
      </c>
      <c r="AS11" s="9">
        <v>34.397999999999996</v>
      </c>
      <c r="AT11" s="9">
        <f t="shared" si="22"/>
        <v>31.465</v>
      </c>
      <c r="AU11" s="9">
        <v>14.741999999999999</v>
      </c>
      <c r="AV11" s="9">
        <f t="shared" si="14"/>
        <v>13.485000000000003</v>
      </c>
      <c r="AW11" s="9">
        <f t="shared" si="15"/>
        <v>49.139999999999993</v>
      </c>
      <c r="AX11" s="9">
        <f t="shared" si="4"/>
        <v>44.95</v>
      </c>
      <c r="AZ11" s="7" t="s">
        <v>155</v>
      </c>
      <c r="BA11" s="9">
        <f>GFA!AS157</f>
        <v>580.17999999999995</v>
      </c>
      <c r="BB11" s="9">
        <v>381.66</v>
      </c>
      <c r="BC11" s="9">
        <v>406.12599999999992</v>
      </c>
      <c r="BD11" s="9">
        <f t="shared" si="23"/>
        <v>267.16199999999998</v>
      </c>
      <c r="BE11" s="9">
        <v>174.05399999999997</v>
      </c>
      <c r="BF11" s="9">
        <f t="shared" si="16"/>
        <v>114.49800000000005</v>
      </c>
      <c r="BG11" s="9">
        <f t="shared" si="17"/>
        <v>580.17999999999984</v>
      </c>
      <c r="BH11" s="9">
        <f t="shared" si="5"/>
        <v>381.66</v>
      </c>
    </row>
    <row r="12" spans="2:60" x14ac:dyDescent="0.35">
      <c r="B12" s="7" t="s">
        <v>156</v>
      </c>
      <c r="C12" s="9">
        <f>GFA!E176</f>
        <v>53.640639309999997</v>
      </c>
      <c r="D12" s="9">
        <v>53.638449147999992</v>
      </c>
      <c r="E12" s="9">
        <v>37.548447516999993</v>
      </c>
      <c r="F12" s="9">
        <f t="shared" si="18"/>
        <v>37.546914403599992</v>
      </c>
      <c r="G12" s="9">
        <v>16.092191792999998</v>
      </c>
      <c r="H12" s="9">
        <f t="shared" si="6"/>
        <v>16.091534744400001</v>
      </c>
      <c r="I12" s="9">
        <f t="shared" si="7"/>
        <v>53.64063930999999</v>
      </c>
      <c r="J12" s="9">
        <f t="shared" si="0"/>
        <v>53.638449147999992</v>
      </c>
      <c r="L12" s="7" t="s">
        <v>156</v>
      </c>
      <c r="M12" s="9">
        <f>GFA!M176</f>
        <v>26.411331205999996</v>
      </c>
      <c r="N12" s="9">
        <v>26.374344087000001</v>
      </c>
      <c r="O12" s="9">
        <v>18.487931844199995</v>
      </c>
      <c r="P12" s="9">
        <f t="shared" si="19"/>
        <v>18.4620408609</v>
      </c>
      <c r="Q12" s="9">
        <v>7.9233993617999987</v>
      </c>
      <c r="R12" s="9">
        <f t="shared" si="8"/>
        <v>7.9123032261000006</v>
      </c>
      <c r="S12" s="9">
        <f t="shared" si="9"/>
        <v>26.411331205999993</v>
      </c>
      <c r="T12" s="9">
        <f t="shared" si="1"/>
        <v>26.374344087000001</v>
      </c>
      <c r="V12" s="7" t="s">
        <v>156</v>
      </c>
      <c r="W12" s="9">
        <f>GFA!U176</f>
        <v>63.394121661</v>
      </c>
      <c r="X12" s="9">
        <v>59.54</v>
      </c>
      <c r="Y12" s="9">
        <v>44.375885162699994</v>
      </c>
      <c r="Z12" s="9">
        <f t="shared" si="20"/>
        <v>41.677999999999997</v>
      </c>
      <c r="AA12" s="9">
        <v>19.018236498299999</v>
      </c>
      <c r="AB12" s="9">
        <f t="shared" si="10"/>
        <v>17.862000000000002</v>
      </c>
      <c r="AC12" s="9">
        <f t="shared" si="11"/>
        <v>63.394121660999993</v>
      </c>
      <c r="AD12" s="9">
        <f t="shared" si="2"/>
        <v>59.54</v>
      </c>
      <c r="AF12" s="7" t="s">
        <v>156</v>
      </c>
      <c r="AG12" s="9">
        <f>GFA!AC176</f>
        <v>38.15</v>
      </c>
      <c r="AH12" s="9">
        <v>37.570000000000007</v>
      </c>
      <c r="AI12" s="9">
        <v>26.704999999999998</v>
      </c>
      <c r="AJ12" s="9">
        <f t="shared" si="21"/>
        <v>26.299000000000003</v>
      </c>
      <c r="AK12" s="9">
        <v>11.444999999999999</v>
      </c>
      <c r="AL12" s="9">
        <f t="shared" si="12"/>
        <v>11.271000000000004</v>
      </c>
      <c r="AM12" s="9">
        <f t="shared" si="13"/>
        <v>38.15</v>
      </c>
      <c r="AN12" s="9">
        <f t="shared" si="3"/>
        <v>37.570000000000007</v>
      </c>
      <c r="AP12" s="7" t="s">
        <v>156</v>
      </c>
      <c r="AQ12" s="9">
        <f>GFA!AK176</f>
        <v>27.39</v>
      </c>
      <c r="AR12" s="9">
        <v>25.8</v>
      </c>
      <c r="AS12" s="9">
        <v>19.172999999999998</v>
      </c>
      <c r="AT12" s="9">
        <f t="shared" si="22"/>
        <v>18.059999999999999</v>
      </c>
      <c r="AU12" s="9">
        <v>8.2170000000000005</v>
      </c>
      <c r="AV12" s="9">
        <f t="shared" si="14"/>
        <v>7.740000000000002</v>
      </c>
      <c r="AW12" s="9">
        <f t="shared" si="15"/>
        <v>27.39</v>
      </c>
      <c r="AX12" s="9">
        <f t="shared" si="4"/>
        <v>25.8</v>
      </c>
      <c r="AZ12" s="7" t="s">
        <v>156</v>
      </c>
      <c r="BA12" s="9">
        <f>GFA!AS176</f>
        <v>1017.98</v>
      </c>
      <c r="BB12" s="9">
        <v>145.02000000000001</v>
      </c>
      <c r="BC12" s="9">
        <v>712.58600000000001</v>
      </c>
      <c r="BD12" s="9">
        <f t="shared" si="23"/>
        <v>101.514</v>
      </c>
      <c r="BE12" s="9">
        <v>305.39400000000001</v>
      </c>
      <c r="BF12" s="9">
        <f t="shared" si="16"/>
        <v>43.506000000000014</v>
      </c>
      <c r="BG12" s="9">
        <f t="shared" si="17"/>
        <v>1017.98</v>
      </c>
      <c r="BH12" s="9">
        <f t="shared" si="5"/>
        <v>145.02000000000001</v>
      </c>
    </row>
    <row r="13" spans="2:60" x14ac:dyDescent="0.35">
      <c r="B13" s="7" t="s">
        <v>8</v>
      </c>
      <c r="C13" s="9">
        <f>GFA!E195</f>
        <v>5.5515166980000004</v>
      </c>
      <c r="D13" s="9">
        <v>5.55</v>
      </c>
      <c r="E13" s="9">
        <v>3.8860616885999999</v>
      </c>
      <c r="F13" s="9">
        <f t="shared" si="18"/>
        <v>3.8849999999999998</v>
      </c>
      <c r="G13" s="9">
        <v>1.6654550094</v>
      </c>
      <c r="H13" s="9">
        <f t="shared" si="6"/>
        <v>1.665</v>
      </c>
      <c r="I13" s="9">
        <f t="shared" si="7"/>
        <v>5.5515166980000004</v>
      </c>
      <c r="J13" s="9">
        <f t="shared" si="0"/>
        <v>5.55</v>
      </c>
      <c r="L13" s="7" t="s">
        <v>8</v>
      </c>
      <c r="M13" s="9">
        <f>GFA!M195</f>
        <v>23.133116613999999</v>
      </c>
      <c r="N13" s="9">
        <v>23.130000000000003</v>
      </c>
      <c r="O13" s="9">
        <v>16.193181629799998</v>
      </c>
      <c r="P13" s="9">
        <f t="shared" si="19"/>
        <v>16.191000000000003</v>
      </c>
      <c r="Q13" s="9">
        <v>6.9399349841999998</v>
      </c>
      <c r="R13" s="9">
        <f t="shared" si="8"/>
        <v>6.9390000000000001</v>
      </c>
      <c r="S13" s="9">
        <f t="shared" si="9"/>
        <v>23.133116613999999</v>
      </c>
      <c r="T13" s="9">
        <f t="shared" si="1"/>
        <v>23.130000000000003</v>
      </c>
      <c r="V13" s="7" t="s">
        <v>8</v>
      </c>
      <c r="W13" s="9">
        <f>GFA!U195</f>
        <v>75.511317338360598</v>
      </c>
      <c r="X13" s="9">
        <v>75.5</v>
      </c>
      <c r="Y13" s="9">
        <v>52.857922136852416</v>
      </c>
      <c r="Z13" s="9">
        <f t="shared" si="20"/>
        <v>52.849999999999994</v>
      </c>
      <c r="AA13" s="9">
        <v>22.653395201508179</v>
      </c>
      <c r="AB13" s="9">
        <f t="shared" si="10"/>
        <v>22.650000000000006</v>
      </c>
      <c r="AC13" s="9">
        <f t="shared" si="11"/>
        <v>75.511317338360598</v>
      </c>
      <c r="AD13" s="9">
        <f t="shared" si="2"/>
        <v>75.5</v>
      </c>
      <c r="AF13" s="7" t="s">
        <v>8</v>
      </c>
      <c r="AG13" s="9">
        <f>GFA!AC195</f>
        <v>22.53</v>
      </c>
      <c r="AH13" s="9">
        <v>22.099999999999998</v>
      </c>
      <c r="AI13" s="9">
        <v>15.770999999999999</v>
      </c>
      <c r="AJ13" s="9">
        <f t="shared" si="21"/>
        <v>15.469999999999997</v>
      </c>
      <c r="AK13" s="9">
        <v>6.7590000000000003</v>
      </c>
      <c r="AL13" s="9">
        <f t="shared" si="12"/>
        <v>6.6300000000000008</v>
      </c>
      <c r="AM13" s="9">
        <f t="shared" si="13"/>
        <v>22.53</v>
      </c>
      <c r="AN13" s="9">
        <f t="shared" si="3"/>
        <v>22.099999999999998</v>
      </c>
      <c r="AP13" s="7" t="s">
        <v>8</v>
      </c>
      <c r="AQ13" s="9">
        <f>GFA!AK195</f>
        <v>342.38</v>
      </c>
      <c r="AR13" s="9">
        <v>269.40760869565219</v>
      </c>
      <c r="AS13" s="9">
        <v>239.66599999999997</v>
      </c>
      <c r="AT13" s="9">
        <f t="shared" si="22"/>
        <v>188.58532608695651</v>
      </c>
      <c r="AU13" s="9">
        <v>102.714</v>
      </c>
      <c r="AV13" s="9">
        <f t="shared" si="14"/>
        <v>80.822282608695673</v>
      </c>
      <c r="AW13" s="9">
        <f t="shared" si="15"/>
        <v>342.38</v>
      </c>
      <c r="AX13" s="9">
        <f t="shared" si="4"/>
        <v>269.40760869565219</v>
      </c>
      <c r="AZ13" s="7" t="s">
        <v>8</v>
      </c>
      <c r="BA13" s="9">
        <f>GFA!AS195</f>
        <v>425.79</v>
      </c>
      <c r="BB13" s="9">
        <v>282.00999999999993</v>
      </c>
      <c r="BC13" s="9">
        <v>298.053</v>
      </c>
      <c r="BD13" s="9">
        <f t="shared" si="23"/>
        <v>197.40699999999995</v>
      </c>
      <c r="BE13" s="9">
        <v>127.73699999999999</v>
      </c>
      <c r="BF13" s="9">
        <f t="shared" si="16"/>
        <v>84.60299999999998</v>
      </c>
      <c r="BG13" s="9">
        <f t="shared" si="17"/>
        <v>425.78999999999996</v>
      </c>
      <c r="BH13" s="9">
        <f t="shared" si="5"/>
        <v>282.00999999999993</v>
      </c>
    </row>
    <row r="14" spans="2:60" x14ac:dyDescent="0.35">
      <c r="B14" s="7" t="s">
        <v>157</v>
      </c>
      <c r="C14" s="9">
        <f>GFA!E214</f>
        <v>131.03022373299999</v>
      </c>
      <c r="D14" s="9">
        <v>131.01315751463468</v>
      </c>
      <c r="E14" s="9">
        <v>91.721156613099978</v>
      </c>
      <c r="F14" s="9">
        <f t="shared" si="18"/>
        <v>91.709210260244276</v>
      </c>
      <c r="G14" s="9">
        <v>39.309067119899993</v>
      </c>
      <c r="H14" s="9">
        <f t="shared" si="6"/>
        <v>39.303947254390408</v>
      </c>
      <c r="I14" s="9">
        <f t="shared" si="7"/>
        <v>131.03022373299996</v>
      </c>
      <c r="J14" s="9">
        <f t="shared" si="0"/>
        <v>131.01315751463468</v>
      </c>
      <c r="L14" s="7" t="s">
        <v>157</v>
      </c>
      <c r="M14" s="9">
        <f>GFA!M214</f>
        <v>2.6658971519999999</v>
      </c>
      <c r="N14" s="9">
        <v>2.66</v>
      </c>
      <c r="O14" s="9">
        <v>1.8661280063999999</v>
      </c>
      <c r="P14" s="9">
        <f t="shared" si="19"/>
        <v>1.8619999999999999</v>
      </c>
      <c r="Q14" s="9">
        <v>0.7997691455999999</v>
      </c>
      <c r="R14" s="9">
        <f t="shared" si="8"/>
        <v>0.79800000000000026</v>
      </c>
      <c r="S14" s="9">
        <f t="shared" si="9"/>
        <v>2.6658971519999999</v>
      </c>
      <c r="T14" s="9">
        <f t="shared" si="1"/>
        <v>2.66</v>
      </c>
      <c r="V14" s="7" t="s">
        <v>157</v>
      </c>
      <c r="W14" s="9">
        <f>GFA!U214</f>
        <v>38.211119852000003</v>
      </c>
      <c r="X14" s="9">
        <v>38.21</v>
      </c>
      <c r="Y14" s="9">
        <v>26.747783896400001</v>
      </c>
      <c r="Z14" s="9">
        <f t="shared" si="20"/>
        <v>26.747</v>
      </c>
      <c r="AA14" s="9">
        <v>11.4633359556</v>
      </c>
      <c r="AB14" s="9">
        <f t="shared" si="10"/>
        <v>11.463000000000001</v>
      </c>
      <c r="AC14" s="9">
        <f t="shared" si="11"/>
        <v>38.211119852000003</v>
      </c>
      <c r="AD14" s="9">
        <f t="shared" si="2"/>
        <v>38.21</v>
      </c>
      <c r="AF14" s="7" t="s">
        <v>157</v>
      </c>
      <c r="AG14" s="9">
        <f>GFA!AC214</f>
        <v>18.62</v>
      </c>
      <c r="AH14" s="9">
        <v>18.87</v>
      </c>
      <c r="AI14" s="9">
        <v>13.034000000000001</v>
      </c>
      <c r="AJ14" s="9">
        <f t="shared" si="21"/>
        <v>13.209</v>
      </c>
      <c r="AK14" s="9">
        <v>5.5860000000000003</v>
      </c>
      <c r="AL14" s="9">
        <f t="shared" si="12"/>
        <v>5.6610000000000014</v>
      </c>
      <c r="AM14" s="9">
        <f t="shared" si="13"/>
        <v>18.62</v>
      </c>
      <c r="AN14" s="9">
        <f t="shared" si="3"/>
        <v>18.87</v>
      </c>
      <c r="AP14" s="7" t="s">
        <v>157</v>
      </c>
      <c r="AQ14" s="9">
        <f>GFA!AK214</f>
        <v>71.13</v>
      </c>
      <c r="AR14" s="9">
        <v>7.8900000000000006</v>
      </c>
      <c r="AS14" s="9">
        <v>49.790999999999997</v>
      </c>
      <c r="AT14" s="9">
        <f t="shared" si="22"/>
        <v>5.5229999999999997</v>
      </c>
      <c r="AU14" s="9">
        <v>21.338999999999999</v>
      </c>
      <c r="AV14" s="9">
        <f t="shared" si="14"/>
        <v>2.3670000000000009</v>
      </c>
      <c r="AW14" s="9">
        <f t="shared" si="15"/>
        <v>71.13</v>
      </c>
      <c r="AX14" s="9">
        <f t="shared" si="4"/>
        <v>7.8900000000000006</v>
      </c>
      <c r="AZ14" s="7" t="s">
        <v>157</v>
      </c>
      <c r="BA14" s="9">
        <f>GFA!AS214</f>
        <v>1058.1500000000001</v>
      </c>
      <c r="BB14" s="9">
        <v>481.48</v>
      </c>
      <c r="BC14" s="9">
        <v>740.70500000000004</v>
      </c>
      <c r="BD14" s="9">
        <f t="shared" si="23"/>
        <v>337.036</v>
      </c>
      <c r="BE14" s="9">
        <v>317.44499999999999</v>
      </c>
      <c r="BF14" s="9">
        <f t="shared" si="16"/>
        <v>144.44400000000002</v>
      </c>
      <c r="BG14" s="9">
        <f t="shared" si="17"/>
        <v>1058.1500000000001</v>
      </c>
      <c r="BH14" s="9">
        <f t="shared" si="5"/>
        <v>481.48</v>
      </c>
    </row>
    <row r="15" spans="2:60" x14ac:dyDescent="0.35">
      <c r="B15" s="7" t="s">
        <v>158</v>
      </c>
      <c r="C15" s="9">
        <f>GFA!E233</f>
        <v>214.990732493</v>
      </c>
      <c r="D15" s="9">
        <v>214.99258282599996</v>
      </c>
      <c r="E15" s="9">
        <v>150.49351274509999</v>
      </c>
      <c r="F15" s="9">
        <f t="shared" si="18"/>
        <v>150.49480797819996</v>
      </c>
      <c r="G15" s="9">
        <v>64.49721974789999</v>
      </c>
      <c r="H15" s="9">
        <f t="shared" si="6"/>
        <v>64.497774847800002</v>
      </c>
      <c r="I15" s="9">
        <f t="shared" si="7"/>
        <v>214.990732493</v>
      </c>
      <c r="J15" s="9">
        <f t="shared" si="0"/>
        <v>214.99258282599996</v>
      </c>
      <c r="L15" s="7" t="s">
        <v>158</v>
      </c>
      <c r="M15" s="9">
        <f>GFA!M233</f>
        <v>209.06201145949998</v>
      </c>
      <c r="N15" s="9">
        <v>209.07000000000002</v>
      </c>
      <c r="O15" s="9">
        <v>146.34340802164999</v>
      </c>
      <c r="P15" s="9">
        <f t="shared" si="19"/>
        <v>146.34900000000002</v>
      </c>
      <c r="Q15" s="9">
        <v>62.718603437849993</v>
      </c>
      <c r="R15" s="9">
        <f t="shared" si="8"/>
        <v>62.721000000000004</v>
      </c>
      <c r="S15" s="9">
        <f t="shared" si="9"/>
        <v>209.06201145949998</v>
      </c>
      <c r="T15" s="9">
        <f t="shared" si="1"/>
        <v>209.07000000000002</v>
      </c>
      <c r="V15" s="7" t="s">
        <v>158</v>
      </c>
      <c r="W15" s="9">
        <f>GFA!U233</f>
        <v>245.19176723799998</v>
      </c>
      <c r="X15" s="9">
        <v>245.18325191800008</v>
      </c>
      <c r="Y15" s="9">
        <v>171.63423706659998</v>
      </c>
      <c r="Z15" s="9">
        <f t="shared" si="20"/>
        <v>171.62827634260006</v>
      </c>
      <c r="AA15" s="9">
        <v>73.557530171399989</v>
      </c>
      <c r="AB15" s="9">
        <f t="shared" si="10"/>
        <v>73.554975575400022</v>
      </c>
      <c r="AC15" s="9">
        <f t="shared" si="11"/>
        <v>245.19176723799995</v>
      </c>
      <c r="AD15" s="9">
        <f t="shared" si="2"/>
        <v>245.18325191800008</v>
      </c>
      <c r="AF15" s="7" t="s">
        <v>158</v>
      </c>
      <c r="AG15" s="9">
        <f>GFA!AC233</f>
        <v>350.01</v>
      </c>
      <c r="AH15" s="9">
        <v>306.92</v>
      </c>
      <c r="AI15" s="9">
        <v>245.00699999999998</v>
      </c>
      <c r="AJ15" s="9">
        <f t="shared" si="21"/>
        <v>214.84399999999999</v>
      </c>
      <c r="AK15" s="9">
        <v>105.003</v>
      </c>
      <c r="AL15" s="9">
        <f t="shared" si="12"/>
        <v>92.076000000000022</v>
      </c>
      <c r="AM15" s="9">
        <f t="shared" si="13"/>
        <v>350.01</v>
      </c>
      <c r="AN15" s="9">
        <f t="shared" si="3"/>
        <v>306.92</v>
      </c>
      <c r="AP15" s="7" t="s">
        <v>158</v>
      </c>
      <c r="AQ15" s="9">
        <f>GFA!AK233</f>
        <v>177.32</v>
      </c>
      <c r="AR15" s="9">
        <v>41.59</v>
      </c>
      <c r="AS15" s="9">
        <v>124.12399999999998</v>
      </c>
      <c r="AT15" s="9">
        <f t="shared" si="22"/>
        <v>29.113</v>
      </c>
      <c r="AU15" s="9">
        <v>53.195999999999998</v>
      </c>
      <c r="AV15" s="9">
        <f t="shared" si="14"/>
        <v>12.477000000000004</v>
      </c>
      <c r="AW15" s="9">
        <f t="shared" si="15"/>
        <v>177.32</v>
      </c>
      <c r="AX15" s="9">
        <f t="shared" si="4"/>
        <v>41.59</v>
      </c>
      <c r="AZ15" s="7" t="s">
        <v>158</v>
      </c>
      <c r="BA15" s="9">
        <f>GFA!AS233</f>
        <v>2110.13</v>
      </c>
      <c r="BB15" s="9">
        <v>997.00000000000011</v>
      </c>
      <c r="BC15" s="9">
        <v>1477.0909999999999</v>
      </c>
      <c r="BD15" s="9">
        <f t="shared" si="23"/>
        <v>697.90000000000009</v>
      </c>
      <c r="BE15" s="9">
        <v>633.03899999999999</v>
      </c>
      <c r="BF15" s="9">
        <f t="shared" si="16"/>
        <v>299.10000000000002</v>
      </c>
      <c r="BG15" s="9">
        <f t="shared" si="17"/>
        <v>2110.13</v>
      </c>
      <c r="BH15" s="9">
        <f t="shared" si="5"/>
        <v>997.00000000000011</v>
      </c>
    </row>
    <row r="16" spans="2:60" x14ac:dyDescent="0.35">
      <c r="B16" s="7" t="s">
        <v>159</v>
      </c>
      <c r="C16" s="9">
        <f>GFA!E252</f>
        <v>7.159557787999999</v>
      </c>
      <c r="D16" s="9">
        <v>7.1599862339999998</v>
      </c>
      <c r="E16" s="9">
        <v>5.0116904515999989</v>
      </c>
      <c r="F16" s="9">
        <f t="shared" si="18"/>
        <v>5.0119903637999998</v>
      </c>
      <c r="G16" s="9">
        <v>2.1478673363999996</v>
      </c>
      <c r="H16" s="9">
        <f t="shared" si="6"/>
        <v>2.1479958701999999</v>
      </c>
      <c r="I16" s="9">
        <f t="shared" si="7"/>
        <v>7.159557787999999</v>
      </c>
      <c r="J16" s="9">
        <f t="shared" si="0"/>
        <v>7.1599862339999998</v>
      </c>
      <c r="L16" s="7" t="s">
        <v>159</v>
      </c>
      <c r="M16" s="9">
        <f>GFA!M252</f>
        <v>70.749808860999991</v>
      </c>
      <c r="N16" s="9">
        <v>70.744538980999991</v>
      </c>
      <c r="O16" s="9">
        <v>49.52486620269999</v>
      </c>
      <c r="P16" s="9">
        <f t="shared" si="19"/>
        <v>49.521177286699988</v>
      </c>
      <c r="Q16" s="9">
        <v>21.224942658299998</v>
      </c>
      <c r="R16" s="9">
        <f t="shared" si="8"/>
        <v>21.223361694300003</v>
      </c>
      <c r="S16" s="9">
        <f t="shared" si="9"/>
        <v>70.749808860999991</v>
      </c>
      <c r="T16" s="9">
        <f t="shared" si="1"/>
        <v>70.744538980999991</v>
      </c>
      <c r="V16" s="7" t="s">
        <v>159</v>
      </c>
      <c r="W16" s="9">
        <f>GFA!U252</f>
        <v>226.01862930199999</v>
      </c>
      <c r="X16" s="9">
        <v>226.02</v>
      </c>
      <c r="Y16" s="9">
        <v>158.21304051139998</v>
      </c>
      <c r="Z16" s="9">
        <f t="shared" si="20"/>
        <v>158.214</v>
      </c>
      <c r="AA16" s="9">
        <v>67.805588790599998</v>
      </c>
      <c r="AB16" s="9">
        <f t="shared" si="10"/>
        <v>67.806000000000012</v>
      </c>
      <c r="AC16" s="9">
        <f t="shared" si="11"/>
        <v>226.01862930199997</v>
      </c>
      <c r="AD16" s="9">
        <f t="shared" si="2"/>
        <v>226.02</v>
      </c>
      <c r="AF16" s="7" t="s">
        <v>159</v>
      </c>
      <c r="AG16" s="9">
        <f>GFA!AC252</f>
        <v>158.41999999999999</v>
      </c>
      <c r="AH16" s="9">
        <v>158.41999999999996</v>
      </c>
      <c r="AI16" s="9">
        <v>110.89399999999999</v>
      </c>
      <c r="AJ16" s="9">
        <f t="shared" si="21"/>
        <v>110.89399999999996</v>
      </c>
      <c r="AK16" s="9">
        <v>47.525999999999996</v>
      </c>
      <c r="AL16" s="9">
        <f t="shared" si="12"/>
        <v>47.525999999999996</v>
      </c>
      <c r="AM16" s="9">
        <f t="shared" si="13"/>
        <v>158.41999999999999</v>
      </c>
      <c r="AN16" s="9">
        <f t="shared" si="3"/>
        <v>158.41999999999996</v>
      </c>
      <c r="AP16" s="7" t="s">
        <v>159</v>
      </c>
      <c r="AQ16" s="9">
        <f>GFA!AK252</f>
        <v>324.18</v>
      </c>
      <c r="AR16" s="9">
        <v>301.75</v>
      </c>
      <c r="AS16" s="9">
        <v>226.92599999999999</v>
      </c>
      <c r="AT16" s="9">
        <f t="shared" si="22"/>
        <v>211.22499999999999</v>
      </c>
      <c r="AU16" s="9">
        <v>97.254000000000005</v>
      </c>
      <c r="AV16" s="9">
        <f t="shared" si="14"/>
        <v>90.525000000000006</v>
      </c>
      <c r="AW16" s="9">
        <f t="shared" si="15"/>
        <v>324.18</v>
      </c>
      <c r="AX16" s="9">
        <f t="shared" si="4"/>
        <v>301.75</v>
      </c>
      <c r="AZ16" s="7" t="s">
        <v>159</v>
      </c>
      <c r="BA16" s="9">
        <f>GFA!AS252</f>
        <v>343.23</v>
      </c>
      <c r="BB16" s="9">
        <v>220.27</v>
      </c>
      <c r="BC16" s="9">
        <v>240.261</v>
      </c>
      <c r="BD16" s="9">
        <f t="shared" si="23"/>
        <v>154.18899999999999</v>
      </c>
      <c r="BE16" s="9">
        <v>102.96900000000001</v>
      </c>
      <c r="BF16" s="9">
        <f t="shared" si="16"/>
        <v>66.081000000000017</v>
      </c>
      <c r="BG16" s="9">
        <f t="shared" si="17"/>
        <v>343.23</v>
      </c>
      <c r="BH16" s="9">
        <f t="shared" si="5"/>
        <v>220.27</v>
      </c>
    </row>
    <row r="17" spans="2:60" x14ac:dyDescent="0.35">
      <c r="B17" s="7" t="s">
        <v>160</v>
      </c>
      <c r="C17" s="9">
        <f>GFA!E271</f>
        <v>8.1926205440000022</v>
      </c>
      <c r="D17" s="9">
        <v>8.1406482589999989</v>
      </c>
      <c r="E17" s="9">
        <v>5.7348343808000015</v>
      </c>
      <c r="F17" s="9">
        <f t="shared" si="18"/>
        <v>5.6984537812999987</v>
      </c>
      <c r="G17" s="9">
        <v>2.4577861632000007</v>
      </c>
      <c r="H17" s="9">
        <f t="shared" si="6"/>
        <v>2.4421944777000002</v>
      </c>
      <c r="I17" s="9">
        <f t="shared" si="7"/>
        <v>8.1926205440000022</v>
      </c>
      <c r="J17" s="9">
        <f t="shared" si="0"/>
        <v>8.1406482589999989</v>
      </c>
      <c r="L17" s="7" t="s">
        <v>160</v>
      </c>
      <c r="M17" s="9">
        <f>GFA!M271</f>
        <v>13.801006404999999</v>
      </c>
      <c r="N17" s="9">
        <v>13.803797609</v>
      </c>
      <c r="O17" s="9">
        <v>9.6607044834999982</v>
      </c>
      <c r="P17" s="9">
        <f t="shared" si="19"/>
        <v>9.662658326299999</v>
      </c>
      <c r="Q17" s="9">
        <v>4.1403019214999999</v>
      </c>
      <c r="R17" s="9">
        <f t="shared" si="8"/>
        <v>4.1411392827000011</v>
      </c>
      <c r="S17" s="9">
        <f t="shared" si="9"/>
        <v>13.801006404999999</v>
      </c>
      <c r="T17" s="9">
        <f t="shared" si="1"/>
        <v>13.803797609</v>
      </c>
      <c r="V17" s="7" t="s">
        <v>160</v>
      </c>
      <c r="W17" s="9">
        <f>GFA!U271</f>
        <v>25.455323084000003</v>
      </c>
      <c r="X17" s="9">
        <v>25.450541630999997</v>
      </c>
      <c r="Y17" s="9">
        <v>17.818726158800001</v>
      </c>
      <c r="Z17" s="9">
        <f t="shared" si="20"/>
        <v>17.815379141699996</v>
      </c>
      <c r="AA17" s="9">
        <v>7.636596925200001</v>
      </c>
      <c r="AB17" s="9">
        <f t="shared" si="10"/>
        <v>7.6351624893000007</v>
      </c>
      <c r="AC17" s="9">
        <f t="shared" si="11"/>
        <v>25.455323084</v>
      </c>
      <c r="AD17" s="9">
        <f t="shared" si="2"/>
        <v>25.450541630999997</v>
      </c>
      <c r="AF17" s="7" t="s">
        <v>160</v>
      </c>
      <c r="AG17" s="9">
        <f>GFA!AC271</f>
        <v>103.68</v>
      </c>
      <c r="AH17" s="9">
        <v>103.65525509999999</v>
      </c>
      <c r="AI17" s="9">
        <v>72.575999999999993</v>
      </c>
      <c r="AJ17" s="9">
        <f t="shared" si="21"/>
        <v>72.558678569999984</v>
      </c>
      <c r="AK17" s="9">
        <v>31.103999999999999</v>
      </c>
      <c r="AL17" s="9">
        <f t="shared" si="12"/>
        <v>31.096576530000007</v>
      </c>
      <c r="AM17" s="9">
        <f t="shared" si="13"/>
        <v>103.67999999999999</v>
      </c>
      <c r="AN17" s="9">
        <f t="shared" si="3"/>
        <v>103.65525509999999</v>
      </c>
      <c r="AP17" s="7" t="s">
        <v>160</v>
      </c>
      <c r="AQ17" s="9">
        <f>GFA!AK271</f>
        <v>7.57</v>
      </c>
      <c r="AR17" s="9">
        <v>7.57</v>
      </c>
      <c r="AS17" s="9">
        <v>5.2989999999999995</v>
      </c>
      <c r="AT17" s="9">
        <f t="shared" si="22"/>
        <v>5.2989999999999995</v>
      </c>
      <c r="AU17" s="9">
        <v>2.2709999999999999</v>
      </c>
      <c r="AV17" s="9">
        <f t="shared" si="14"/>
        <v>2.2710000000000008</v>
      </c>
      <c r="AW17" s="9">
        <f t="shared" si="15"/>
        <v>7.5699999999999994</v>
      </c>
      <c r="AX17" s="9">
        <f t="shared" si="4"/>
        <v>7.57</v>
      </c>
      <c r="AZ17" s="7" t="s">
        <v>160</v>
      </c>
      <c r="BA17" s="9">
        <f>GFA!AS271</f>
        <v>222.39</v>
      </c>
      <c r="BB17" s="9">
        <v>89.240000000000009</v>
      </c>
      <c r="BC17" s="9">
        <v>155.67299999999997</v>
      </c>
      <c r="BD17" s="9">
        <f t="shared" si="23"/>
        <v>62.468000000000004</v>
      </c>
      <c r="BE17" s="9">
        <v>66.716999999999999</v>
      </c>
      <c r="BF17" s="9">
        <f t="shared" si="16"/>
        <v>26.772000000000006</v>
      </c>
      <c r="BG17" s="9">
        <f t="shared" si="17"/>
        <v>222.39</v>
      </c>
      <c r="BH17" s="9">
        <f t="shared" si="5"/>
        <v>89.240000000000009</v>
      </c>
    </row>
    <row r="18" spans="2:60" x14ac:dyDescent="0.35">
      <c r="B18" s="7" t="s">
        <v>186</v>
      </c>
      <c r="C18" s="9">
        <v>7.8528995999999998</v>
      </c>
      <c r="D18" s="9">
        <v>7.8543061999999999</v>
      </c>
      <c r="E18" s="9">
        <v>5.4970297199999996</v>
      </c>
      <c r="F18" s="9">
        <f t="shared" si="18"/>
        <v>5.4980143399999992</v>
      </c>
      <c r="G18" s="9">
        <v>2.3558698799999997</v>
      </c>
      <c r="H18" s="9">
        <f t="shared" si="6"/>
        <v>2.3562918600000007</v>
      </c>
      <c r="I18" s="9">
        <f t="shared" si="7"/>
        <v>7.8528995999999989</v>
      </c>
      <c r="J18" s="9">
        <f t="shared" si="0"/>
        <v>7.8543061999999999</v>
      </c>
      <c r="L18" s="7" t="s">
        <v>186</v>
      </c>
      <c r="M18" s="9">
        <v>10.7266648</v>
      </c>
      <c r="N18" s="9">
        <v>10.725704999999996</v>
      </c>
      <c r="O18" s="9">
        <v>7.5086653599999993</v>
      </c>
      <c r="P18" s="9">
        <f t="shared" si="19"/>
        <v>7.5079934999999969</v>
      </c>
      <c r="Q18" s="9">
        <v>3.2179994399999998</v>
      </c>
      <c r="R18" s="9">
        <f t="shared" si="8"/>
        <v>3.2177114999999992</v>
      </c>
      <c r="S18" s="9">
        <f t="shared" si="9"/>
        <v>10.726664799999998</v>
      </c>
      <c r="T18" s="9">
        <f t="shared" si="1"/>
        <v>10.725704999999996</v>
      </c>
      <c r="V18" s="7" t="s">
        <v>186</v>
      </c>
      <c r="W18" s="9">
        <v>6.2865223729999995</v>
      </c>
      <c r="X18" s="9">
        <v>6.282300499999999</v>
      </c>
      <c r="Y18" s="9">
        <v>4.400565661099999</v>
      </c>
      <c r="Z18" s="9">
        <f t="shared" si="20"/>
        <v>4.397610349999999</v>
      </c>
      <c r="AA18" s="9">
        <v>1.8859567118999998</v>
      </c>
      <c r="AB18" s="9">
        <f t="shared" si="10"/>
        <v>1.88469015</v>
      </c>
      <c r="AC18" s="9">
        <f t="shared" si="11"/>
        <v>6.2865223729999986</v>
      </c>
      <c r="AD18" s="9">
        <f t="shared" si="2"/>
        <v>6.282300499999999</v>
      </c>
      <c r="AF18" s="7" t="s">
        <v>186</v>
      </c>
      <c r="AG18" s="9">
        <v>37.950000000000003</v>
      </c>
      <c r="AH18" s="9">
        <v>37.952029999999993</v>
      </c>
      <c r="AI18" s="9">
        <v>26.565000000000001</v>
      </c>
      <c r="AJ18" s="9">
        <f t="shared" si="21"/>
        <v>26.566420999999995</v>
      </c>
      <c r="AK18" s="9">
        <v>11.385</v>
      </c>
      <c r="AL18" s="9">
        <f t="shared" si="12"/>
        <v>11.385608999999999</v>
      </c>
      <c r="AM18" s="9">
        <f t="shared" si="13"/>
        <v>37.950000000000003</v>
      </c>
      <c r="AN18" s="9">
        <f t="shared" si="3"/>
        <v>37.952029999999993</v>
      </c>
      <c r="AP18" s="7" t="s">
        <v>186</v>
      </c>
      <c r="AQ18" s="9">
        <v>34.94</v>
      </c>
      <c r="AR18" s="9">
        <v>34.94</v>
      </c>
      <c r="AS18" s="9">
        <v>24.457999999999998</v>
      </c>
      <c r="AT18" s="9">
        <f t="shared" si="22"/>
        <v>24.457999999999998</v>
      </c>
      <c r="AU18" s="9">
        <v>10.481999999999999</v>
      </c>
      <c r="AV18" s="9">
        <f t="shared" si="14"/>
        <v>10.481999999999999</v>
      </c>
      <c r="AW18" s="9">
        <f t="shared" si="15"/>
        <v>34.94</v>
      </c>
      <c r="AX18" s="9">
        <f t="shared" si="4"/>
        <v>34.94</v>
      </c>
      <c r="AZ18" s="7" t="s">
        <v>186</v>
      </c>
      <c r="BA18" s="9">
        <v>109.61</v>
      </c>
      <c r="BB18" s="9">
        <v>43.959999999999994</v>
      </c>
      <c r="BC18" s="9">
        <v>76.72699999999999</v>
      </c>
      <c r="BD18" s="9">
        <f t="shared" si="23"/>
        <v>30.771999999999995</v>
      </c>
      <c r="BE18" s="9">
        <v>32.882999999999996</v>
      </c>
      <c r="BF18" s="9">
        <f t="shared" si="16"/>
        <v>13.187999999999999</v>
      </c>
      <c r="BG18" s="9">
        <f t="shared" si="17"/>
        <v>109.60999999999999</v>
      </c>
      <c r="BH18" s="9">
        <f t="shared" si="5"/>
        <v>43.959999999999994</v>
      </c>
    </row>
    <row r="19" spans="2:60" x14ac:dyDescent="0.35">
      <c r="B19" s="7" t="s">
        <v>187</v>
      </c>
      <c r="C19" s="9">
        <v>3.7294942999999997E-2</v>
      </c>
      <c r="D19" s="9">
        <v>0.04</v>
      </c>
      <c r="E19" s="9">
        <v>2.6106460099999996E-2</v>
      </c>
      <c r="F19" s="9">
        <f t="shared" si="18"/>
        <v>2.7999999999999997E-2</v>
      </c>
      <c r="G19" s="9">
        <v>1.1188482899999999E-2</v>
      </c>
      <c r="H19" s="9">
        <f t="shared" si="6"/>
        <v>1.2000000000000004E-2</v>
      </c>
      <c r="I19" s="9">
        <f t="shared" si="7"/>
        <v>3.7294942999999997E-2</v>
      </c>
      <c r="J19" s="9">
        <f t="shared" si="0"/>
        <v>0.04</v>
      </c>
      <c r="L19" s="7" t="s">
        <v>187</v>
      </c>
      <c r="M19" s="9">
        <v>0.91183451500000001</v>
      </c>
      <c r="N19" s="9">
        <v>0.90999999999999992</v>
      </c>
      <c r="O19" s="9">
        <v>0.63828416049999992</v>
      </c>
      <c r="P19" s="9">
        <f t="shared" si="19"/>
        <v>0.6369999999999999</v>
      </c>
      <c r="Q19" s="9">
        <v>0.27355035449999998</v>
      </c>
      <c r="R19" s="9">
        <f t="shared" si="8"/>
        <v>0.27300000000000002</v>
      </c>
      <c r="S19" s="9">
        <f t="shared" si="9"/>
        <v>0.9118345149999999</v>
      </c>
      <c r="T19" s="9">
        <f t="shared" si="1"/>
        <v>0.90999999999999992</v>
      </c>
      <c r="V19" s="7" t="s">
        <v>187</v>
      </c>
      <c r="W19" s="9">
        <v>0.25331842900000001</v>
      </c>
      <c r="X19" s="9">
        <v>0.24999999999999997</v>
      </c>
      <c r="Y19" s="9">
        <v>0.1773229003</v>
      </c>
      <c r="Z19" s="9">
        <f t="shared" si="20"/>
        <v>0.17499999999999996</v>
      </c>
      <c r="AA19" s="9">
        <v>7.5995528699999995E-2</v>
      </c>
      <c r="AB19" s="9">
        <f t="shared" si="10"/>
        <v>7.5000000000000011E-2</v>
      </c>
      <c r="AC19" s="9">
        <f t="shared" si="11"/>
        <v>0.25331842900000001</v>
      </c>
      <c r="AD19" s="9">
        <f t="shared" si="2"/>
        <v>0.24999999999999997</v>
      </c>
      <c r="AF19" s="7" t="s">
        <v>187</v>
      </c>
      <c r="AG19" s="9">
        <v>1.91</v>
      </c>
      <c r="AH19" s="9">
        <v>1.9100000000000001</v>
      </c>
      <c r="AI19" s="9">
        <v>1.337</v>
      </c>
      <c r="AJ19" s="9">
        <f t="shared" si="21"/>
        <v>1.337</v>
      </c>
      <c r="AK19" s="9">
        <v>0.57299999999999995</v>
      </c>
      <c r="AL19" s="9">
        <f t="shared" si="12"/>
        <v>0.57300000000000018</v>
      </c>
      <c r="AM19" s="9">
        <f t="shared" si="13"/>
        <v>1.91</v>
      </c>
      <c r="AN19" s="9">
        <f t="shared" si="3"/>
        <v>1.9100000000000001</v>
      </c>
      <c r="AP19" s="7" t="s">
        <v>187</v>
      </c>
      <c r="AQ19" s="9">
        <v>0</v>
      </c>
      <c r="AR19" s="9">
        <v>0</v>
      </c>
      <c r="AS19" s="9">
        <v>0</v>
      </c>
      <c r="AT19" s="9">
        <f t="shared" si="22"/>
        <v>0</v>
      </c>
      <c r="AU19" s="9">
        <v>0</v>
      </c>
      <c r="AV19" s="9">
        <f t="shared" si="14"/>
        <v>0</v>
      </c>
      <c r="AW19" s="9">
        <f t="shared" si="15"/>
        <v>0</v>
      </c>
      <c r="AX19" s="9">
        <f t="shared" si="4"/>
        <v>0</v>
      </c>
      <c r="AZ19" s="7" t="s">
        <v>187</v>
      </c>
      <c r="BA19" s="9">
        <v>0</v>
      </c>
      <c r="BB19" s="9">
        <v>0</v>
      </c>
      <c r="BC19" s="9">
        <v>0</v>
      </c>
      <c r="BD19" s="9">
        <f t="shared" si="23"/>
        <v>0</v>
      </c>
      <c r="BE19" s="9">
        <v>0</v>
      </c>
      <c r="BF19" s="9">
        <f t="shared" si="16"/>
        <v>0</v>
      </c>
      <c r="BG19" s="9">
        <f t="shared" si="17"/>
        <v>0</v>
      </c>
      <c r="BH19" s="9">
        <f t="shared" si="5"/>
        <v>0</v>
      </c>
    </row>
    <row r="20" spans="2:60" x14ac:dyDescent="0.35">
      <c r="B20" s="7" t="s">
        <v>188</v>
      </c>
      <c r="C20" s="9">
        <v>1.2122197000000001E-2</v>
      </c>
      <c r="D20" s="9">
        <v>0.01</v>
      </c>
      <c r="E20" s="9">
        <v>8.4855378999999995E-3</v>
      </c>
      <c r="F20" s="9">
        <f t="shared" si="18"/>
        <v>6.9999999999999993E-3</v>
      </c>
      <c r="G20" s="9">
        <v>3.6366591E-3</v>
      </c>
      <c r="H20" s="9">
        <f t="shared" si="6"/>
        <v>3.0000000000000009E-3</v>
      </c>
      <c r="I20" s="9">
        <f t="shared" si="7"/>
        <v>1.2122196999999999E-2</v>
      </c>
      <c r="J20" s="9">
        <f t="shared" si="0"/>
        <v>0.01</v>
      </c>
      <c r="L20" s="7" t="s">
        <v>188</v>
      </c>
      <c r="M20" s="9">
        <v>0.13092089099999998</v>
      </c>
      <c r="N20" s="9">
        <v>0.132823091</v>
      </c>
      <c r="O20" s="9">
        <v>9.1644623699999983E-2</v>
      </c>
      <c r="P20" s="9">
        <f t="shared" si="19"/>
        <v>9.2976163700000003E-2</v>
      </c>
      <c r="Q20" s="9">
        <v>3.9276267299999994E-2</v>
      </c>
      <c r="R20" s="9">
        <f t="shared" si="8"/>
        <v>3.9846927300000001E-2</v>
      </c>
      <c r="S20" s="9">
        <f t="shared" si="9"/>
        <v>0.13092089099999998</v>
      </c>
      <c r="T20" s="9">
        <f t="shared" si="1"/>
        <v>0.132823091</v>
      </c>
      <c r="V20" s="7" t="s">
        <v>188</v>
      </c>
      <c r="W20" s="9">
        <v>5.7919E-3</v>
      </c>
      <c r="X20" s="9">
        <v>5.7919E-3</v>
      </c>
      <c r="Y20" s="9">
        <v>4.0543300000000001E-3</v>
      </c>
      <c r="Z20" s="9">
        <f t="shared" si="20"/>
        <v>4.0543300000000001E-3</v>
      </c>
      <c r="AA20" s="9">
        <v>1.7375699999999999E-3</v>
      </c>
      <c r="AB20" s="9">
        <f t="shared" si="10"/>
        <v>1.7375699999999999E-3</v>
      </c>
      <c r="AC20" s="9">
        <f t="shared" si="11"/>
        <v>5.7919E-3</v>
      </c>
      <c r="AD20" s="9">
        <f t="shared" si="2"/>
        <v>5.7919E-3</v>
      </c>
      <c r="AF20" s="7" t="s">
        <v>188</v>
      </c>
      <c r="AG20" s="9">
        <v>2.4500000000000002</v>
      </c>
      <c r="AH20" s="9">
        <v>2.4499999999999997</v>
      </c>
      <c r="AI20" s="9">
        <v>1.7150000000000001</v>
      </c>
      <c r="AJ20" s="9">
        <f t="shared" si="21"/>
        <v>1.7149999999999996</v>
      </c>
      <c r="AK20" s="9">
        <v>0.73499999999999999</v>
      </c>
      <c r="AL20" s="9">
        <f t="shared" si="12"/>
        <v>0.7350000000000001</v>
      </c>
      <c r="AM20" s="9">
        <f t="shared" si="13"/>
        <v>2.4500000000000002</v>
      </c>
      <c r="AN20" s="9">
        <f t="shared" si="3"/>
        <v>2.4499999999999997</v>
      </c>
      <c r="AP20" s="7" t="s">
        <v>188</v>
      </c>
      <c r="AQ20" s="9">
        <v>0</v>
      </c>
      <c r="AR20" s="9">
        <v>0</v>
      </c>
      <c r="AS20" s="9">
        <v>0</v>
      </c>
      <c r="AT20" s="9">
        <f t="shared" si="22"/>
        <v>0</v>
      </c>
      <c r="AU20" s="9">
        <v>0</v>
      </c>
      <c r="AV20" s="9">
        <f t="shared" si="14"/>
        <v>0</v>
      </c>
      <c r="AW20" s="9">
        <f t="shared" si="15"/>
        <v>0</v>
      </c>
      <c r="AX20" s="9">
        <f t="shared" si="4"/>
        <v>0</v>
      </c>
      <c r="AZ20" s="7" t="s">
        <v>188</v>
      </c>
      <c r="BA20" s="9">
        <v>0</v>
      </c>
      <c r="BB20" s="9">
        <v>0</v>
      </c>
      <c r="BC20" s="9">
        <v>0</v>
      </c>
      <c r="BD20" s="9">
        <f t="shared" si="23"/>
        <v>0</v>
      </c>
      <c r="BE20" s="9">
        <v>0</v>
      </c>
      <c r="BF20" s="9">
        <f t="shared" si="16"/>
        <v>0</v>
      </c>
      <c r="BG20" s="9">
        <f t="shared" si="17"/>
        <v>0</v>
      </c>
      <c r="BH20" s="9">
        <f t="shared" si="5"/>
        <v>0</v>
      </c>
    </row>
    <row r="21" spans="2:60" x14ac:dyDescent="0.35">
      <c r="B21" s="7" t="s">
        <v>189</v>
      </c>
      <c r="C21" s="9">
        <v>4.8437895549999999</v>
      </c>
      <c r="D21" s="9">
        <v>4.83</v>
      </c>
      <c r="E21" s="9">
        <v>3.3906526884999999</v>
      </c>
      <c r="F21" s="9">
        <f t="shared" si="18"/>
        <v>3.3809999999999998</v>
      </c>
      <c r="G21" s="9">
        <v>1.4531368665</v>
      </c>
      <c r="H21" s="9">
        <f t="shared" si="6"/>
        <v>1.4490000000000003</v>
      </c>
      <c r="I21" s="9">
        <f t="shared" si="7"/>
        <v>4.8437895549999999</v>
      </c>
      <c r="J21" s="9">
        <f t="shared" si="0"/>
        <v>4.83</v>
      </c>
      <c r="L21" s="7" t="s">
        <v>189</v>
      </c>
      <c r="M21" s="9">
        <v>2.5888801799999999</v>
      </c>
      <c r="N21" s="9">
        <v>2.56</v>
      </c>
      <c r="O21" s="9">
        <v>1.8122161259999998</v>
      </c>
      <c r="P21" s="9">
        <f t="shared" si="19"/>
        <v>1.7919999999999998</v>
      </c>
      <c r="Q21" s="9">
        <v>0.77666405399999994</v>
      </c>
      <c r="R21" s="9">
        <f t="shared" si="8"/>
        <v>0.76800000000000024</v>
      </c>
      <c r="S21" s="9">
        <f t="shared" si="9"/>
        <v>2.5888801799999999</v>
      </c>
      <c r="T21" s="9">
        <f t="shared" si="1"/>
        <v>2.56</v>
      </c>
      <c r="V21" s="7" t="s">
        <v>189</v>
      </c>
      <c r="W21" s="9">
        <v>1.9206846900000001</v>
      </c>
      <c r="X21" s="9">
        <v>1.9200000000000002</v>
      </c>
      <c r="Y21" s="9">
        <v>1.3444792830000001</v>
      </c>
      <c r="Z21" s="9">
        <f t="shared" si="20"/>
        <v>1.3440000000000001</v>
      </c>
      <c r="AA21" s="9">
        <v>0.576205407</v>
      </c>
      <c r="AB21" s="9">
        <f t="shared" si="10"/>
        <v>0.57600000000000007</v>
      </c>
      <c r="AC21" s="9">
        <f t="shared" si="11"/>
        <v>1.9206846900000001</v>
      </c>
      <c r="AD21" s="9">
        <f t="shared" si="2"/>
        <v>1.9200000000000002</v>
      </c>
      <c r="AF21" s="7" t="s">
        <v>189</v>
      </c>
      <c r="AG21" s="9">
        <v>24.41</v>
      </c>
      <c r="AH21" s="9">
        <v>12.341139999999999</v>
      </c>
      <c r="AI21" s="9">
        <v>17.087</v>
      </c>
      <c r="AJ21" s="9">
        <f t="shared" si="21"/>
        <v>8.6387979999999995</v>
      </c>
      <c r="AK21" s="9">
        <v>7.3229999999999995</v>
      </c>
      <c r="AL21" s="9">
        <f t="shared" si="12"/>
        <v>3.7023419999999998</v>
      </c>
      <c r="AM21" s="9">
        <f t="shared" si="13"/>
        <v>24.41</v>
      </c>
      <c r="AN21" s="9">
        <f t="shared" si="3"/>
        <v>12.341139999999999</v>
      </c>
      <c r="AP21" s="7" t="s">
        <v>189</v>
      </c>
      <c r="AQ21" s="9">
        <v>65</v>
      </c>
      <c r="AR21" s="9">
        <v>26.520000000000003</v>
      </c>
      <c r="AS21" s="9">
        <v>45.5</v>
      </c>
      <c r="AT21" s="9">
        <f t="shared" si="22"/>
        <v>18.564</v>
      </c>
      <c r="AU21" s="9">
        <v>19.5</v>
      </c>
      <c r="AV21" s="9">
        <f t="shared" si="14"/>
        <v>7.9560000000000031</v>
      </c>
      <c r="AW21" s="9">
        <f t="shared" si="15"/>
        <v>65</v>
      </c>
      <c r="AX21" s="9">
        <f t="shared" si="4"/>
        <v>26.520000000000003</v>
      </c>
      <c r="AZ21" s="7" t="s">
        <v>189</v>
      </c>
      <c r="BA21" s="9">
        <v>34.54</v>
      </c>
      <c r="BB21" s="9">
        <v>17.759999999999998</v>
      </c>
      <c r="BC21" s="9">
        <v>24.177999999999997</v>
      </c>
      <c r="BD21" s="9">
        <f t="shared" si="23"/>
        <v>12.431999999999999</v>
      </c>
      <c r="BE21" s="9">
        <v>10.362</v>
      </c>
      <c r="BF21" s="9">
        <f t="shared" si="16"/>
        <v>5.3279999999999994</v>
      </c>
      <c r="BG21" s="9">
        <f t="shared" si="17"/>
        <v>34.54</v>
      </c>
      <c r="BH21" s="9">
        <f t="shared" si="5"/>
        <v>17.759999999999998</v>
      </c>
    </row>
    <row r="22" spans="2:60" x14ac:dyDescent="0.35">
      <c r="B22" s="12" t="s">
        <v>27</v>
      </c>
      <c r="C22" s="13">
        <f t="shared" ref="C22:J22" si="24">SUM(C5:C21)</f>
        <v>590.519140257</v>
      </c>
      <c r="D22" s="13">
        <f t="shared" si="24"/>
        <v>588.55476578163473</v>
      </c>
      <c r="E22" s="13">
        <f t="shared" si="24"/>
        <v>413.36339817989995</v>
      </c>
      <c r="F22" s="13">
        <f t="shared" si="24"/>
        <v>411.98833604714417</v>
      </c>
      <c r="G22" s="13">
        <f t="shared" si="24"/>
        <v>177.15574207709997</v>
      </c>
      <c r="H22" s="13">
        <f t="shared" si="24"/>
        <v>176.56642973449041</v>
      </c>
      <c r="I22" s="13">
        <f t="shared" si="24"/>
        <v>590.519140257</v>
      </c>
      <c r="J22" s="13">
        <f t="shared" si="24"/>
        <v>588.55476578163473</v>
      </c>
      <c r="L22" s="12" t="s">
        <v>27</v>
      </c>
      <c r="M22" s="13">
        <f t="shared" ref="M22:T22" si="25">SUM(M5:M21)</f>
        <v>577.71996863549998</v>
      </c>
      <c r="N22" s="13">
        <f t="shared" si="25"/>
        <v>569.66097608199993</v>
      </c>
      <c r="O22" s="13">
        <f t="shared" si="25"/>
        <v>404.40397804485002</v>
      </c>
      <c r="P22" s="13">
        <f t="shared" si="25"/>
        <v>398.76268325739994</v>
      </c>
      <c r="Q22" s="13">
        <f t="shared" si="25"/>
        <v>173.31599059064999</v>
      </c>
      <c r="R22" s="13">
        <f t="shared" si="25"/>
        <v>170.89829282460002</v>
      </c>
      <c r="S22" s="13">
        <f t="shared" si="25"/>
        <v>577.71996863549998</v>
      </c>
      <c r="T22" s="13">
        <f t="shared" si="25"/>
        <v>569.66097608199993</v>
      </c>
      <c r="V22" s="12" t="s">
        <v>27</v>
      </c>
      <c r="W22" s="13">
        <f t="shared" ref="W22:AD22" si="26">SUM(W5:W21)</f>
        <v>1160.6884534203605</v>
      </c>
      <c r="X22" s="13">
        <f t="shared" si="26"/>
        <v>1119.7745710800004</v>
      </c>
      <c r="Y22" s="13">
        <f t="shared" si="26"/>
        <v>812.48191739425249</v>
      </c>
      <c r="Z22" s="13">
        <f t="shared" si="26"/>
        <v>783.84219975600001</v>
      </c>
      <c r="AA22" s="13">
        <f t="shared" si="26"/>
        <v>348.2065360261081</v>
      </c>
      <c r="AB22" s="13">
        <f t="shared" si="26"/>
        <v>335.93237132400009</v>
      </c>
      <c r="AC22" s="13">
        <f t="shared" si="26"/>
        <v>1160.6884534203602</v>
      </c>
      <c r="AD22" s="13">
        <f t="shared" si="26"/>
        <v>1119.7745710800004</v>
      </c>
      <c r="AF22" s="12" t="s">
        <v>27</v>
      </c>
      <c r="AG22" s="13">
        <f t="shared" ref="AG22:AN22" si="27">SUM(AG5:AG21)</f>
        <v>1188.6400000000001</v>
      </c>
      <c r="AH22" s="13">
        <f t="shared" si="27"/>
        <v>1118.6987553030001</v>
      </c>
      <c r="AI22" s="13">
        <f t="shared" si="27"/>
        <v>832.048</v>
      </c>
      <c r="AJ22" s="13">
        <f t="shared" si="27"/>
        <v>783.08912871209986</v>
      </c>
      <c r="AK22" s="13">
        <f t="shared" si="27"/>
        <v>356.59199999999993</v>
      </c>
      <c r="AL22" s="13">
        <f t="shared" si="27"/>
        <v>335.60962659090001</v>
      </c>
      <c r="AM22" s="13">
        <f t="shared" si="27"/>
        <v>1188.6400000000001</v>
      </c>
      <c r="AN22" s="13">
        <f t="shared" si="27"/>
        <v>1118.6987553030001</v>
      </c>
      <c r="AP22" s="12" t="s">
        <v>27</v>
      </c>
      <c r="AQ22" s="13">
        <f t="shared" ref="AQ22:AX22" si="28">SUM(AQ5:AQ21)</f>
        <v>2450.3700000000003</v>
      </c>
      <c r="AR22" s="13">
        <f t="shared" si="28"/>
        <v>1569.1590862956521</v>
      </c>
      <c r="AS22" s="13">
        <f t="shared" si="28"/>
        <v>1715.2589999999998</v>
      </c>
      <c r="AT22" s="13">
        <f t="shared" si="28"/>
        <v>1098.4113604069564</v>
      </c>
      <c r="AU22" s="13">
        <f t="shared" si="28"/>
        <v>735.11099999999988</v>
      </c>
      <c r="AV22" s="13">
        <f t="shared" si="28"/>
        <v>470.74772588869575</v>
      </c>
      <c r="AW22" s="13">
        <f t="shared" si="28"/>
        <v>2450.3700000000003</v>
      </c>
      <c r="AX22" s="13">
        <f t="shared" si="28"/>
        <v>1569.1590862956521</v>
      </c>
      <c r="AZ22" s="12" t="s">
        <v>27</v>
      </c>
      <c r="BA22" s="13">
        <f t="shared" ref="BA22:BH22" si="29">SUM(BA5:BA21)</f>
        <v>8329.010000000002</v>
      </c>
      <c r="BB22" s="13">
        <f t="shared" si="29"/>
        <v>3699.0619173588084</v>
      </c>
      <c r="BC22" s="13">
        <f t="shared" si="29"/>
        <v>5830.3069999999989</v>
      </c>
      <c r="BD22" s="13">
        <f t="shared" si="29"/>
        <v>2589.343342151165</v>
      </c>
      <c r="BE22" s="13">
        <f t="shared" si="29"/>
        <v>2498.703</v>
      </c>
      <c r="BF22" s="13">
        <f t="shared" si="29"/>
        <v>1109.7185752076427</v>
      </c>
      <c r="BG22" s="13">
        <f t="shared" si="29"/>
        <v>8329.01</v>
      </c>
      <c r="BH22" s="13">
        <f t="shared" si="29"/>
        <v>3699.0619173588084</v>
      </c>
    </row>
    <row r="23" spans="2:60" x14ac:dyDescent="0.35">
      <c r="D23" s="5" t="b">
        <v>1</v>
      </c>
      <c r="M23" s="91"/>
      <c r="N23" s="5" t="b">
        <v>1</v>
      </c>
      <c r="O23" s="109"/>
      <c r="X23" s="5" t="b">
        <v>1</v>
      </c>
      <c r="Y23" s="110"/>
      <c r="AH23" s="5" t="b">
        <v>1</v>
      </c>
      <c r="AI23" s="111"/>
      <c r="AR23" s="5" t="b">
        <v>1</v>
      </c>
      <c r="BB23" s="5" t="b">
        <v>1</v>
      </c>
    </row>
    <row r="24" spans="2:60" x14ac:dyDescent="0.35">
      <c r="M24" s="91"/>
    </row>
  </sheetData>
  <mergeCells count="30">
    <mergeCell ref="BG3:BH3"/>
    <mergeCell ref="AK3:AL3"/>
    <mergeCell ref="AM3:AN3"/>
    <mergeCell ref="AP3:AP4"/>
    <mergeCell ref="AQ3:AR3"/>
    <mergeCell ref="AS3:AT3"/>
    <mergeCell ref="AU3:AV3"/>
    <mergeCell ref="AW3:AX3"/>
    <mergeCell ref="AZ3:AZ4"/>
    <mergeCell ref="BA3:BB3"/>
    <mergeCell ref="BC3:BD3"/>
    <mergeCell ref="BE3:BF3"/>
    <mergeCell ref="AI3:AJ3"/>
    <mergeCell ref="M3:N3"/>
    <mergeCell ref="O3:P3"/>
    <mergeCell ref="Q3:R3"/>
    <mergeCell ref="S3:T3"/>
    <mergeCell ref="V3:V4"/>
    <mergeCell ref="W3:X3"/>
    <mergeCell ref="Y3:Z3"/>
    <mergeCell ref="AA3:AB3"/>
    <mergeCell ref="AC3:AD3"/>
    <mergeCell ref="AF3:AF4"/>
    <mergeCell ref="AG3:AH3"/>
    <mergeCell ref="L3:L4"/>
    <mergeCell ref="B3:B4"/>
    <mergeCell ref="C3:D3"/>
    <mergeCell ref="E3:F3"/>
    <mergeCell ref="G3:H3"/>
    <mergeCell ref="I3:J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42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0.26953125" style="5" bestFit="1" customWidth="1"/>
    <col min="4" max="4" width="26.54296875" style="5" customWidth="1"/>
    <col min="5" max="5" width="8.81640625" style="5" bestFit="1" customWidth="1"/>
    <col min="6" max="6" width="10.26953125" style="5" bestFit="1" customWidth="1"/>
    <col min="7" max="7" width="16.453125" style="5" customWidth="1"/>
    <col min="8" max="8" width="8.81640625" style="5" bestFit="1" customWidth="1"/>
    <col min="9" max="9" width="10.26953125" style="5" bestFit="1" customWidth="1"/>
    <col min="10" max="10" width="8.81640625" style="5" bestFit="1" customWidth="1"/>
    <col min="11" max="11" width="10.26953125" style="5" bestFit="1" customWidth="1"/>
    <col min="12" max="12" width="8.81640625" style="5" bestFit="1" customWidth="1"/>
    <col min="13" max="13" width="10.26953125" style="5" bestFit="1" customWidth="1"/>
    <col min="14" max="14" width="8.81640625" style="5" bestFit="1" customWidth="1"/>
    <col min="15" max="15" width="10.26953125" style="5" bestFit="1" customWidth="1"/>
    <col min="16" max="16" width="8.81640625" style="5" bestFit="1" customWidth="1"/>
    <col min="17" max="17" width="10.26953125" style="5" bestFit="1" customWidth="1"/>
    <col min="18" max="16384" width="9.1796875" style="5"/>
  </cols>
  <sheetData>
    <row r="2" spans="2:17" x14ac:dyDescent="0.35">
      <c r="B2" s="3" t="s">
        <v>212</v>
      </c>
    </row>
    <row r="3" spans="2:17" ht="36" customHeight="1" x14ac:dyDescent="0.35">
      <c r="B3" s="187" t="s">
        <v>170</v>
      </c>
      <c r="C3" s="187" t="s">
        <v>213</v>
      </c>
      <c r="D3" s="192" t="s">
        <v>214</v>
      </c>
      <c r="E3" s="192" t="s">
        <v>215</v>
      </c>
      <c r="F3" s="192"/>
      <c r="G3" s="192" t="s">
        <v>216</v>
      </c>
      <c r="H3" s="192" t="s">
        <v>217</v>
      </c>
      <c r="I3" s="192"/>
      <c r="J3" s="192" t="s">
        <v>218</v>
      </c>
      <c r="K3" s="192"/>
      <c r="L3" s="192" t="s">
        <v>219</v>
      </c>
      <c r="M3" s="192"/>
      <c r="N3" s="192" t="s">
        <v>220</v>
      </c>
      <c r="O3" s="192"/>
      <c r="P3" s="192" t="s">
        <v>221</v>
      </c>
      <c r="Q3" s="192"/>
    </row>
    <row r="4" spans="2:17" x14ac:dyDescent="0.35">
      <c r="B4" s="187"/>
      <c r="C4" s="187"/>
      <c r="D4" s="192"/>
      <c r="E4" s="96" t="s">
        <v>131</v>
      </c>
      <c r="F4" s="96" t="s">
        <v>132</v>
      </c>
      <c r="G4" s="192"/>
      <c r="H4" s="96" t="s">
        <v>131</v>
      </c>
      <c r="I4" s="96" t="s">
        <v>132</v>
      </c>
      <c r="J4" s="96" t="s">
        <v>131</v>
      </c>
      <c r="K4" s="96" t="s">
        <v>132</v>
      </c>
      <c r="L4" s="96" t="s">
        <v>131</v>
      </c>
      <c r="M4" s="96" t="s">
        <v>132</v>
      </c>
      <c r="N4" s="96" t="s">
        <v>131</v>
      </c>
      <c r="O4" s="96" t="s">
        <v>132</v>
      </c>
      <c r="P4" s="96" t="s">
        <v>131</v>
      </c>
      <c r="Q4" s="96" t="s">
        <v>132</v>
      </c>
    </row>
    <row r="5" spans="2:17" x14ac:dyDescent="0.35">
      <c r="B5" s="7" t="s">
        <v>43</v>
      </c>
      <c r="C5" s="105">
        <v>0.14000000000000001</v>
      </c>
      <c r="D5" s="105"/>
      <c r="E5" s="112">
        <v>2.5000000000000001E-3</v>
      </c>
      <c r="F5" s="112">
        <v>0</v>
      </c>
      <c r="G5" s="113">
        <v>121.08</v>
      </c>
      <c r="H5" s="112">
        <v>0.01</v>
      </c>
      <c r="I5" s="112">
        <f>IF(G5&lt;45,0%,IF(AND(45&lt;=G5,G5&lt;90),0.5%,IF(AND(90&lt;=G5,G5&lt;120),0.75%,1%)))</f>
        <v>0.01</v>
      </c>
      <c r="J5" s="112">
        <f>E5+H5</f>
        <v>1.2500000000000001E-2</v>
      </c>
      <c r="K5" s="112">
        <f t="shared" ref="K5:K21" si="0">F5+I5</f>
        <v>0.01</v>
      </c>
      <c r="L5" s="112">
        <f>C5+J5</f>
        <v>0.15250000000000002</v>
      </c>
      <c r="M5" s="112">
        <f>C5+K5</f>
        <v>0.15000000000000002</v>
      </c>
      <c r="N5" s="112">
        <v>0</v>
      </c>
      <c r="O5" s="112">
        <v>0</v>
      </c>
      <c r="P5" s="112">
        <f>L5/(1-N5)</f>
        <v>0.15250000000000002</v>
      </c>
      <c r="Q5" s="112">
        <f t="shared" ref="Q5:Q21" si="1">M5/(1-O5)</f>
        <v>0.15000000000000002</v>
      </c>
    </row>
    <row r="6" spans="2:17" x14ac:dyDescent="0.35">
      <c r="B6" s="7" t="s">
        <v>150</v>
      </c>
      <c r="C6" s="105">
        <v>0.14000000000000001</v>
      </c>
      <c r="D6" s="105"/>
      <c r="E6" s="112">
        <v>2.5000000000000001E-3</v>
      </c>
      <c r="F6" s="112">
        <v>0</v>
      </c>
      <c r="G6" s="113">
        <v>29.605419389978213</v>
      </c>
      <c r="H6" s="112">
        <v>1.3020833333333335E-3</v>
      </c>
      <c r="I6" s="112">
        <f t="shared" ref="I6:I17" si="2">IF(G6&lt;45,0%,IF(AND(45&lt;=G6,G6&lt;90),0.5%,IF(AND(90&lt;=G6,G6&lt;120),0.75%,1%)))</f>
        <v>0</v>
      </c>
      <c r="J6" s="112">
        <f t="shared" ref="J6:J21" si="3">E6+H6</f>
        <v>3.8020833333333335E-3</v>
      </c>
      <c r="K6" s="112">
        <f t="shared" si="0"/>
        <v>0</v>
      </c>
      <c r="L6" s="112">
        <f t="shared" ref="L6:L21" si="4">C6+J6</f>
        <v>0.14380208333333336</v>
      </c>
      <c r="M6" s="112">
        <f t="shared" ref="M6:M21" si="5">C6+K6</f>
        <v>0.14000000000000001</v>
      </c>
      <c r="N6" s="112">
        <v>0</v>
      </c>
      <c r="O6" s="112">
        <v>0</v>
      </c>
      <c r="P6" s="112">
        <f t="shared" ref="P6:P21" si="6">L6/(1-N6)</f>
        <v>0.14380208333333336</v>
      </c>
      <c r="Q6" s="112">
        <f t="shared" si="1"/>
        <v>0.14000000000000001</v>
      </c>
    </row>
    <row r="7" spans="2:17" x14ac:dyDescent="0.35">
      <c r="B7" s="7" t="s">
        <v>151</v>
      </c>
      <c r="C7" s="105">
        <v>0.14000000000000001</v>
      </c>
      <c r="D7" s="105"/>
      <c r="E7" s="112">
        <v>2.5000000000000001E-3</v>
      </c>
      <c r="F7" s="112">
        <v>0</v>
      </c>
      <c r="G7" s="113">
        <v>38.475964506172843</v>
      </c>
      <c r="H7" s="112">
        <v>2.5000000000000001E-3</v>
      </c>
      <c r="I7" s="112">
        <f t="shared" si="2"/>
        <v>0</v>
      </c>
      <c r="J7" s="112">
        <f t="shared" si="3"/>
        <v>5.0000000000000001E-3</v>
      </c>
      <c r="K7" s="112">
        <f t="shared" si="0"/>
        <v>0</v>
      </c>
      <c r="L7" s="112">
        <f t="shared" si="4"/>
        <v>0.14500000000000002</v>
      </c>
      <c r="M7" s="112">
        <f t="shared" si="5"/>
        <v>0.14000000000000001</v>
      </c>
      <c r="N7" s="112">
        <v>0</v>
      </c>
      <c r="O7" s="112">
        <v>0</v>
      </c>
      <c r="P7" s="112">
        <f t="shared" si="6"/>
        <v>0.14500000000000002</v>
      </c>
      <c r="Q7" s="112">
        <f t="shared" si="1"/>
        <v>0.14000000000000001</v>
      </c>
    </row>
    <row r="8" spans="2:17" x14ac:dyDescent="0.35">
      <c r="B8" s="7" t="s">
        <v>44</v>
      </c>
      <c r="C8" s="105">
        <v>0.14000000000000001</v>
      </c>
      <c r="D8" s="105"/>
      <c r="E8" s="112">
        <v>2.5000000000000001E-3</v>
      </c>
      <c r="F8" s="112">
        <v>0</v>
      </c>
      <c r="G8" s="113">
        <v>65.426515151515147</v>
      </c>
      <c r="H8" s="112">
        <v>6.2500000000000003E-3</v>
      </c>
      <c r="I8" s="112">
        <f t="shared" si="2"/>
        <v>5.0000000000000001E-3</v>
      </c>
      <c r="J8" s="112">
        <f t="shared" si="3"/>
        <v>8.7500000000000008E-3</v>
      </c>
      <c r="K8" s="112">
        <f t="shared" si="0"/>
        <v>5.0000000000000001E-3</v>
      </c>
      <c r="L8" s="112">
        <f t="shared" si="4"/>
        <v>0.14875000000000002</v>
      </c>
      <c r="M8" s="112">
        <f t="shared" si="5"/>
        <v>0.14500000000000002</v>
      </c>
      <c r="N8" s="112">
        <v>0</v>
      </c>
      <c r="O8" s="112">
        <v>0</v>
      </c>
      <c r="P8" s="112">
        <f t="shared" si="6"/>
        <v>0.14875000000000002</v>
      </c>
      <c r="Q8" s="112">
        <f t="shared" si="1"/>
        <v>0.14500000000000002</v>
      </c>
    </row>
    <row r="9" spans="2:17" x14ac:dyDescent="0.35">
      <c r="B9" s="7" t="s">
        <v>152</v>
      </c>
      <c r="C9" s="105">
        <v>0.14000000000000001</v>
      </c>
      <c r="D9" s="105"/>
      <c r="E9" s="112">
        <v>2.5000000000000001E-3</v>
      </c>
      <c r="F9" s="112">
        <v>0</v>
      </c>
      <c r="G9" s="113">
        <v>217.35888888888888</v>
      </c>
      <c r="H9" s="112">
        <v>0.01</v>
      </c>
      <c r="I9" s="112">
        <f t="shared" si="2"/>
        <v>0.01</v>
      </c>
      <c r="J9" s="112">
        <f t="shared" si="3"/>
        <v>1.2500000000000001E-2</v>
      </c>
      <c r="K9" s="112">
        <f t="shared" si="0"/>
        <v>0.01</v>
      </c>
      <c r="L9" s="112">
        <f t="shared" si="4"/>
        <v>0.15250000000000002</v>
      </c>
      <c r="M9" s="112">
        <f t="shared" si="5"/>
        <v>0.15000000000000002</v>
      </c>
      <c r="N9" s="112">
        <v>0</v>
      </c>
      <c r="O9" s="112">
        <v>0</v>
      </c>
      <c r="P9" s="112">
        <f t="shared" si="6"/>
        <v>0.15250000000000002</v>
      </c>
      <c r="Q9" s="112">
        <f t="shared" si="1"/>
        <v>0.15000000000000002</v>
      </c>
    </row>
    <row r="10" spans="2:17" x14ac:dyDescent="0.35">
      <c r="B10" s="7" t="s">
        <v>154</v>
      </c>
      <c r="C10" s="105">
        <v>0.14000000000000001</v>
      </c>
      <c r="D10" s="105"/>
      <c r="E10" s="112">
        <v>0</v>
      </c>
      <c r="F10" s="112">
        <v>0</v>
      </c>
      <c r="G10" s="113">
        <v>44.246444444444435</v>
      </c>
      <c r="H10" s="112">
        <v>2.5000000000000001E-3</v>
      </c>
      <c r="I10" s="112">
        <f t="shared" si="2"/>
        <v>0</v>
      </c>
      <c r="J10" s="112">
        <f t="shared" si="3"/>
        <v>2.5000000000000001E-3</v>
      </c>
      <c r="K10" s="112">
        <f t="shared" si="0"/>
        <v>0</v>
      </c>
      <c r="L10" s="112">
        <f t="shared" si="4"/>
        <v>0.14250000000000002</v>
      </c>
      <c r="M10" s="112">
        <f t="shared" si="5"/>
        <v>0.14000000000000001</v>
      </c>
      <c r="N10" s="112">
        <v>0</v>
      </c>
      <c r="O10" s="112">
        <v>0</v>
      </c>
      <c r="P10" s="112">
        <f t="shared" si="6"/>
        <v>0.14250000000000002</v>
      </c>
      <c r="Q10" s="112">
        <f t="shared" si="1"/>
        <v>0.14000000000000001</v>
      </c>
    </row>
    <row r="11" spans="2:17" x14ac:dyDescent="0.35">
      <c r="B11" s="7" t="s">
        <v>155</v>
      </c>
      <c r="C11" s="105">
        <v>0.14000000000000001</v>
      </c>
      <c r="D11" s="105"/>
      <c r="E11" s="112">
        <v>2.5000000000000001E-3</v>
      </c>
      <c r="F11" s="112">
        <v>0</v>
      </c>
      <c r="G11" s="113">
        <v>14.201504629629632</v>
      </c>
      <c r="H11" s="112">
        <v>0</v>
      </c>
      <c r="I11" s="112">
        <f t="shared" si="2"/>
        <v>0</v>
      </c>
      <c r="J11" s="112">
        <f t="shared" si="3"/>
        <v>2.5000000000000001E-3</v>
      </c>
      <c r="K11" s="112">
        <f t="shared" si="0"/>
        <v>0</v>
      </c>
      <c r="L11" s="112">
        <f t="shared" si="4"/>
        <v>0.14250000000000002</v>
      </c>
      <c r="M11" s="112">
        <f t="shared" si="5"/>
        <v>0.14000000000000001</v>
      </c>
      <c r="N11" s="112">
        <v>0</v>
      </c>
      <c r="O11" s="112">
        <v>0</v>
      </c>
      <c r="P11" s="112">
        <f t="shared" si="6"/>
        <v>0.14250000000000002</v>
      </c>
      <c r="Q11" s="112">
        <f t="shared" si="1"/>
        <v>0.14000000000000001</v>
      </c>
    </row>
    <row r="12" spans="2:17" x14ac:dyDescent="0.35">
      <c r="B12" s="7" t="s">
        <v>156</v>
      </c>
      <c r="C12" s="105">
        <v>0.14000000000000001</v>
      </c>
      <c r="D12" s="105"/>
      <c r="E12" s="112">
        <v>2.5000000000000001E-3</v>
      </c>
      <c r="F12" s="112">
        <v>0</v>
      </c>
      <c r="G12" s="113">
        <v>102.60863095238095</v>
      </c>
      <c r="H12" s="112">
        <v>7.4999999999999997E-3</v>
      </c>
      <c r="I12" s="112">
        <f t="shared" si="2"/>
        <v>7.4999999999999997E-3</v>
      </c>
      <c r="J12" s="112">
        <f t="shared" si="3"/>
        <v>0.01</v>
      </c>
      <c r="K12" s="112">
        <f t="shared" si="0"/>
        <v>7.4999999999999997E-3</v>
      </c>
      <c r="L12" s="112">
        <f t="shared" si="4"/>
        <v>0.15000000000000002</v>
      </c>
      <c r="M12" s="112">
        <f t="shared" si="5"/>
        <v>0.14750000000000002</v>
      </c>
      <c r="N12" s="112">
        <v>0</v>
      </c>
      <c r="O12" s="112">
        <v>0</v>
      </c>
      <c r="P12" s="112">
        <f t="shared" si="6"/>
        <v>0.15000000000000002</v>
      </c>
      <c r="Q12" s="112">
        <f t="shared" si="1"/>
        <v>0.14750000000000002</v>
      </c>
    </row>
    <row r="13" spans="2:17" x14ac:dyDescent="0.35">
      <c r="B13" s="7" t="s">
        <v>8</v>
      </c>
      <c r="C13" s="105">
        <v>0.14000000000000001</v>
      </c>
      <c r="D13" s="105"/>
      <c r="E13" s="112">
        <v>2.5000000000000001E-3</v>
      </c>
      <c r="F13" s="112">
        <v>0</v>
      </c>
      <c r="G13" s="113">
        <v>34.130000000000003</v>
      </c>
      <c r="H13" s="112">
        <v>0</v>
      </c>
      <c r="I13" s="112">
        <f t="shared" si="2"/>
        <v>0</v>
      </c>
      <c r="J13" s="112">
        <f t="shared" si="3"/>
        <v>2.5000000000000001E-3</v>
      </c>
      <c r="K13" s="112">
        <f t="shared" si="0"/>
        <v>0</v>
      </c>
      <c r="L13" s="112">
        <f t="shared" si="4"/>
        <v>0.14250000000000002</v>
      </c>
      <c r="M13" s="112">
        <f t="shared" si="5"/>
        <v>0.14000000000000001</v>
      </c>
      <c r="N13" s="112">
        <v>0</v>
      </c>
      <c r="O13" s="112">
        <v>0</v>
      </c>
      <c r="P13" s="112">
        <f t="shared" si="6"/>
        <v>0.14250000000000002</v>
      </c>
      <c r="Q13" s="112">
        <f t="shared" si="1"/>
        <v>0.14000000000000001</v>
      </c>
    </row>
    <row r="14" spans="2:17" x14ac:dyDescent="0.35">
      <c r="B14" s="7" t="s">
        <v>157</v>
      </c>
      <c r="C14" s="105">
        <v>0.14000000000000001</v>
      </c>
      <c r="D14" s="105"/>
      <c r="E14" s="112">
        <v>2.5000000000000001E-3</v>
      </c>
      <c r="F14" s="112">
        <v>0</v>
      </c>
      <c r="G14" s="113">
        <v>78.222453703703707</v>
      </c>
      <c r="H14" s="112">
        <v>5.0000000000000001E-3</v>
      </c>
      <c r="I14" s="112">
        <f t="shared" si="2"/>
        <v>5.0000000000000001E-3</v>
      </c>
      <c r="J14" s="112">
        <f t="shared" si="3"/>
        <v>7.4999999999999997E-3</v>
      </c>
      <c r="K14" s="112">
        <f t="shared" si="0"/>
        <v>5.0000000000000001E-3</v>
      </c>
      <c r="L14" s="112">
        <f t="shared" si="4"/>
        <v>0.14750000000000002</v>
      </c>
      <c r="M14" s="112">
        <f t="shared" si="5"/>
        <v>0.14500000000000002</v>
      </c>
      <c r="N14" s="112">
        <v>0</v>
      </c>
      <c r="O14" s="112">
        <v>0</v>
      </c>
      <c r="P14" s="112">
        <f t="shared" si="6"/>
        <v>0.14750000000000002</v>
      </c>
      <c r="Q14" s="112">
        <f t="shared" si="1"/>
        <v>0.14500000000000002</v>
      </c>
    </row>
    <row r="15" spans="2:17" x14ac:dyDescent="0.35">
      <c r="B15" s="7" t="s">
        <v>158</v>
      </c>
      <c r="C15" s="105">
        <v>0.14000000000000001</v>
      </c>
      <c r="D15" s="105"/>
      <c r="E15" s="112">
        <v>2.5000000000000001E-3</v>
      </c>
      <c r="F15" s="112">
        <v>0</v>
      </c>
      <c r="G15" s="113">
        <v>33.416196236559145</v>
      </c>
      <c r="H15" s="112">
        <v>0</v>
      </c>
      <c r="I15" s="112">
        <f t="shared" si="2"/>
        <v>0</v>
      </c>
      <c r="J15" s="112">
        <f t="shared" si="3"/>
        <v>2.5000000000000001E-3</v>
      </c>
      <c r="K15" s="112">
        <f t="shared" si="0"/>
        <v>0</v>
      </c>
      <c r="L15" s="112">
        <f t="shared" si="4"/>
        <v>0.14250000000000002</v>
      </c>
      <c r="M15" s="112">
        <f t="shared" si="5"/>
        <v>0.14000000000000001</v>
      </c>
      <c r="N15" s="112">
        <v>0</v>
      </c>
      <c r="O15" s="112">
        <v>0</v>
      </c>
      <c r="P15" s="112">
        <f t="shared" si="6"/>
        <v>0.14250000000000002</v>
      </c>
      <c r="Q15" s="112">
        <f t="shared" si="1"/>
        <v>0.14000000000000001</v>
      </c>
    </row>
    <row r="16" spans="2:17" x14ac:dyDescent="0.35">
      <c r="B16" s="7" t="s">
        <v>159</v>
      </c>
      <c r="C16" s="105">
        <v>0.14000000000000001</v>
      </c>
      <c r="D16" s="105"/>
      <c r="E16" s="112">
        <v>2.5000000000000001E-3</v>
      </c>
      <c r="F16" s="112">
        <v>0</v>
      </c>
      <c r="G16" s="113">
        <v>50.2672123015873</v>
      </c>
      <c r="H16" s="112">
        <v>2.5000000000000001E-3</v>
      </c>
      <c r="I16" s="112">
        <f t="shared" si="2"/>
        <v>5.0000000000000001E-3</v>
      </c>
      <c r="J16" s="112">
        <f t="shared" si="3"/>
        <v>5.0000000000000001E-3</v>
      </c>
      <c r="K16" s="112">
        <f t="shared" si="0"/>
        <v>5.0000000000000001E-3</v>
      </c>
      <c r="L16" s="112">
        <f t="shared" si="4"/>
        <v>0.14500000000000002</v>
      </c>
      <c r="M16" s="112">
        <f t="shared" si="5"/>
        <v>0.14500000000000002</v>
      </c>
      <c r="N16" s="112">
        <v>0</v>
      </c>
      <c r="O16" s="112">
        <v>0</v>
      </c>
      <c r="P16" s="112">
        <f t="shared" si="6"/>
        <v>0.14500000000000002</v>
      </c>
      <c r="Q16" s="112">
        <f t="shared" si="1"/>
        <v>0.14500000000000002</v>
      </c>
    </row>
    <row r="17" spans="2:17" x14ac:dyDescent="0.35">
      <c r="B17" s="7" t="s">
        <v>160</v>
      </c>
      <c r="C17" s="105">
        <v>0.14000000000000001</v>
      </c>
      <c r="D17" s="105"/>
      <c r="E17" s="112">
        <v>2.5000000000000001E-3</v>
      </c>
      <c r="F17" s="112">
        <v>0</v>
      </c>
      <c r="G17" s="113">
        <v>71.538333333333327</v>
      </c>
      <c r="H17" s="112">
        <v>5.0000000000000001E-3</v>
      </c>
      <c r="I17" s="112">
        <f t="shared" si="2"/>
        <v>5.0000000000000001E-3</v>
      </c>
      <c r="J17" s="112">
        <f t="shared" si="3"/>
        <v>7.4999999999999997E-3</v>
      </c>
      <c r="K17" s="112">
        <f t="shared" si="0"/>
        <v>5.0000000000000001E-3</v>
      </c>
      <c r="L17" s="112">
        <f t="shared" si="4"/>
        <v>0.14750000000000002</v>
      </c>
      <c r="M17" s="112">
        <f t="shared" si="5"/>
        <v>0.14500000000000002</v>
      </c>
      <c r="N17" s="112">
        <v>0</v>
      </c>
      <c r="O17" s="112">
        <v>0</v>
      </c>
      <c r="P17" s="112">
        <f t="shared" si="6"/>
        <v>0.14750000000000002</v>
      </c>
      <c r="Q17" s="112">
        <f t="shared" si="1"/>
        <v>0.14500000000000002</v>
      </c>
    </row>
    <row r="18" spans="2:17" x14ac:dyDescent="0.35">
      <c r="B18" s="7" t="s">
        <v>186</v>
      </c>
      <c r="C18" s="105">
        <v>0.14000000000000001</v>
      </c>
      <c r="D18" s="105"/>
      <c r="E18" s="112"/>
      <c r="F18" s="112"/>
      <c r="G18" s="113"/>
      <c r="H18" s="112"/>
      <c r="I18" s="112"/>
      <c r="J18" s="112">
        <f t="shared" si="3"/>
        <v>0</v>
      </c>
      <c r="K18" s="112">
        <f t="shared" si="0"/>
        <v>0</v>
      </c>
      <c r="L18" s="112">
        <f t="shared" si="4"/>
        <v>0.14000000000000001</v>
      </c>
      <c r="M18" s="112">
        <f t="shared" si="5"/>
        <v>0.14000000000000001</v>
      </c>
      <c r="N18" s="112">
        <v>0</v>
      </c>
      <c r="O18" s="112">
        <v>0</v>
      </c>
      <c r="P18" s="112">
        <f t="shared" si="6"/>
        <v>0.14000000000000001</v>
      </c>
      <c r="Q18" s="112">
        <f t="shared" si="1"/>
        <v>0.14000000000000001</v>
      </c>
    </row>
    <row r="19" spans="2:17" x14ac:dyDescent="0.35">
      <c r="B19" s="7" t="s">
        <v>187</v>
      </c>
      <c r="C19" s="105">
        <v>0.14000000000000001</v>
      </c>
      <c r="D19" s="105"/>
      <c r="E19" s="112"/>
      <c r="F19" s="112"/>
      <c r="G19" s="113"/>
      <c r="H19" s="112"/>
      <c r="I19" s="112"/>
      <c r="J19" s="112">
        <f t="shared" si="3"/>
        <v>0</v>
      </c>
      <c r="K19" s="112">
        <f t="shared" si="0"/>
        <v>0</v>
      </c>
      <c r="L19" s="112">
        <f t="shared" si="4"/>
        <v>0.14000000000000001</v>
      </c>
      <c r="M19" s="112">
        <f t="shared" si="5"/>
        <v>0.14000000000000001</v>
      </c>
      <c r="N19" s="112">
        <v>0</v>
      </c>
      <c r="O19" s="112">
        <v>0</v>
      </c>
      <c r="P19" s="112">
        <f t="shared" si="6"/>
        <v>0.14000000000000001</v>
      </c>
      <c r="Q19" s="112">
        <f t="shared" si="1"/>
        <v>0.14000000000000001</v>
      </c>
    </row>
    <row r="20" spans="2:17" x14ac:dyDescent="0.35">
      <c r="B20" s="7" t="s">
        <v>188</v>
      </c>
      <c r="C20" s="105">
        <v>0.14000000000000001</v>
      </c>
      <c r="D20" s="105"/>
      <c r="E20" s="112"/>
      <c r="F20" s="112"/>
      <c r="G20" s="113"/>
      <c r="H20" s="112"/>
      <c r="I20" s="112"/>
      <c r="J20" s="112">
        <f t="shared" si="3"/>
        <v>0</v>
      </c>
      <c r="K20" s="112">
        <f t="shared" si="0"/>
        <v>0</v>
      </c>
      <c r="L20" s="112">
        <f t="shared" si="4"/>
        <v>0.14000000000000001</v>
      </c>
      <c r="M20" s="112">
        <f t="shared" si="5"/>
        <v>0.14000000000000001</v>
      </c>
      <c r="N20" s="112">
        <v>0</v>
      </c>
      <c r="O20" s="112">
        <v>0</v>
      </c>
      <c r="P20" s="112">
        <f t="shared" si="6"/>
        <v>0.14000000000000001</v>
      </c>
      <c r="Q20" s="112">
        <f t="shared" si="1"/>
        <v>0.14000000000000001</v>
      </c>
    </row>
    <row r="21" spans="2:17" x14ac:dyDescent="0.35">
      <c r="B21" s="7" t="s">
        <v>189</v>
      </c>
      <c r="C21" s="105">
        <v>0.14000000000000001</v>
      </c>
      <c r="D21" s="105"/>
      <c r="E21" s="112"/>
      <c r="F21" s="112"/>
      <c r="G21" s="113"/>
      <c r="H21" s="112"/>
      <c r="I21" s="112"/>
      <c r="J21" s="112">
        <f t="shared" si="3"/>
        <v>0</v>
      </c>
      <c r="K21" s="112">
        <f t="shared" si="0"/>
        <v>0</v>
      </c>
      <c r="L21" s="112">
        <f t="shared" si="4"/>
        <v>0.14000000000000001</v>
      </c>
      <c r="M21" s="112">
        <f t="shared" si="5"/>
        <v>0.14000000000000001</v>
      </c>
      <c r="N21" s="112">
        <v>0</v>
      </c>
      <c r="O21" s="112">
        <v>0</v>
      </c>
      <c r="P21" s="112">
        <f t="shared" si="6"/>
        <v>0.14000000000000001</v>
      </c>
      <c r="Q21" s="112">
        <f t="shared" si="1"/>
        <v>0.14000000000000001</v>
      </c>
    </row>
    <row r="23" spans="2:17" x14ac:dyDescent="0.35">
      <c r="B23" s="3" t="s">
        <v>222</v>
      </c>
    </row>
    <row r="24" spans="2:17" ht="36" customHeight="1" x14ac:dyDescent="0.35">
      <c r="B24" s="187" t="s">
        <v>170</v>
      </c>
      <c r="C24" s="187" t="s">
        <v>213</v>
      </c>
      <c r="D24" s="192" t="s">
        <v>214</v>
      </c>
      <c r="E24" s="192" t="s">
        <v>215</v>
      </c>
      <c r="F24" s="192"/>
      <c r="G24" s="192" t="s">
        <v>216</v>
      </c>
      <c r="H24" s="192" t="s">
        <v>217</v>
      </c>
      <c r="I24" s="192"/>
      <c r="J24" s="192" t="s">
        <v>218</v>
      </c>
      <c r="K24" s="192"/>
      <c r="L24" s="192" t="s">
        <v>219</v>
      </c>
      <c r="M24" s="192"/>
      <c r="N24" s="192" t="s">
        <v>220</v>
      </c>
      <c r="O24" s="192"/>
      <c r="P24" s="192" t="s">
        <v>221</v>
      </c>
      <c r="Q24" s="192"/>
    </row>
    <row r="25" spans="2:17" x14ac:dyDescent="0.35">
      <c r="B25" s="187"/>
      <c r="C25" s="187"/>
      <c r="D25" s="192"/>
      <c r="E25" s="96" t="s">
        <v>131</v>
      </c>
      <c r="F25" s="96" t="s">
        <v>132</v>
      </c>
      <c r="G25" s="192"/>
      <c r="H25" s="96" t="s">
        <v>131</v>
      </c>
      <c r="I25" s="96" t="s">
        <v>132</v>
      </c>
      <c r="J25" s="96" t="s">
        <v>131</v>
      </c>
      <c r="K25" s="96" t="s">
        <v>132</v>
      </c>
      <c r="L25" s="96" t="s">
        <v>131</v>
      </c>
      <c r="M25" s="96" t="s">
        <v>132</v>
      </c>
      <c r="N25" s="96" t="s">
        <v>131</v>
      </c>
      <c r="O25" s="96" t="s">
        <v>132</v>
      </c>
      <c r="P25" s="96" t="s">
        <v>131</v>
      </c>
      <c r="Q25" s="96" t="s">
        <v>132</v>
      </c>
    </row>
    <row r="26" spans="2:17" x14ac:dyDescent="0.35">
      <c r="B26" s="7" t="s">
        <v>43</v>
      </c>
      <c r="C26" s="105">
        <v>0.14000000000000001</v>
      </c>
      <c r="D26" s="105"/>
      <c r="E26" s="112">
        <v>2.5000000000000001E-3</v>
      </c>
      <c r="F26" s="112">
        <v>0</v>
      </c>
      <c r="G26" s="113">
        <v>27.46</v>
      </c>
      <c r="H26" s="112">
        <v>0</v>
      </c>
      <c r="I26" s="112">
        <f>IF(G26&lt;45,0%,IF(AND(45&lt;=G26,G26&lt;90),0.5%,IF(AND(90&lt;=G26,G26&lt;120),0.75%,1%)))</f>
        <v>0</v>
      </c>
      <c r="J26" s="112">
        <f>E26+H26</f>
        <v>2.5000000000000001E-3</v>
      </c>
      <c r="K26" s="112">
        <f t="shared" ref="K26:K42" si="7">F26+I26</f>
        <v>0</v>
      </c>
      <c r="L26" s="112">
        <f>C26+J26</f>
        <v>0.14250000000000002</v>
      </c>
      <c r="M26" s="112">
        <f>C26+K26</f>
        <v>0.14000000000000001</v>
      </c>
      <c r="N26" s="112">
        <v>0</v>
      </c>
      <c r="O26" s="112">
        <v>0</v>
      </c>
      <c r="P26" s="112">
        <f>L26/(1-N26)</f>
        <v>0.14250000000000002</v>
      </c>
      <c r="Q26" s="112">
        <f t="shared" ref="Q26:Q42" si="8">M26/(1-O26)</f>
        <v>0.14000000000000001</v>
      </c>
    </row>
    <row r="27" spans="2:17" x14ac:dyDescent="0.35">
      <c r="B27" s="7" t="s">
        <v>150</v>
      </c>
      <c r="C27" s="105">
        <v>0.14000000000000001</v>
      </c>
      <c r="D27" s="105"/>
      <c r="E27" s="112">
        <v>2.5000000000000001E-3</v>
      </c>
      <c r="F27" s="112">
        <v>0</v>
      </c>
      <c r="G27" s="113">
        <v>27.771035353535357</v>
      </c>
      <c r="H27" s="112">
        <v>0</v>
      </c>
      <c r="I27" s="112">
        <f t="shared" ref="I27:I38" si="9">IF(G27&lt;45,0%,IF(AND(45&lt;=G27,G27&lt;90),0.5%,IF(AND(90&lt;=G27,G27&lt;120),0.75%,1%)))</f>
        <v>0</v>
      </c>
      <c r="J27" s="112">
        <f t="shared" ref="J27:J42" si="10">E27+H27</f>
        <v>2.5000000000000001E-3</v>
      </c>
      <c r="K27" s="112">
        <f t="shared" si="7"/>
        <v>0</v>
      </c>
      <c r="L27" s="112">
        <f t="shared" ref="L27:L42" si="11">C27+J27</f>
        <v>0.14250000000000002</v>
      </c>
      <c r="M27" s="112">
        <f t="shared" ref="M27:M42" si="12">C27+K27</f>
        <v>0.14000000000000001</v>
      </c>
      <c r="N27" s="112">
        <v>0</v>
      </c>
      <c r="O27" s="112">
        <v>0</v>
      </c>
      <c r="P27" s="112">
        <f t="shared" ref="P27:P42" si="13">L27/(1-N27)</f>
        <v>0.14250000000000002</v>
      </c>
      <c r="Q27" s="112">
        <f t="shared" si="8"/>
        <v>0.14000000000000001</v>
      </c>
    </row>
    <row r="28" spans="2:17" x14ac:dyDescent="0.35">
      <c r="B28" s="7" t="s">
        <v>151</v>
      </c>
      <c r="C28" s="105">
        <v>0.14000000000000001</v>
      </c>
      <c r="D28" s="105"/>
      <c r="E28" s="112">
        <v>2.5000000000000001E-3</v>
      </c>
      <c r="F28" s="112">
        <v>0</v>
      </c>
      <c r="G28" s="113">
        <v>27.934239130434786</v>
      </c>
      <c r="H28" s="112">
        <v>1.8749999999999999E-3</v>
      </c>
      <c r="I28" s="112">
        <f t="shared" si="9"/>
        <v>0</v>
      </c>
      <c r="J28" s="112">
        <f t="shared" si="10"/>
        <v>4.3750000000000004E-3</v>
      </c>
      <c r="K28" s="112">
        <f t="shared" si="7"/>
        <v>0</v>
      </c>
      <c r="L28" s="112">
        <f t="shared" si="11"/>
        <v>0.144375</v>
      </c>
      <c r="M28" s="112">
        <f t="shared" si="12"/>
        <v>0.14000000000000001</v>
      </c>
      <c r="N28" s="112">
        <v>0</v>
      </c>
      <c r="O28" s="112">
        <v>0</v>
      </c>
      <c r="P28" s="112">
        <f t="shared" si="13"/>
        <v>0.144375</v>
      </c>
      <c r="Q28" s="112">
        <f t="shared" si="8"/>
        <v>0.14000000000000001</v>
      </c>
    </row>
    <row r="29" spans="2:17" x14ac:dyDescent="0.35">
      <c r="B29" s="7" t="s">
        <v>44</v>
      </c>
      <c r="C29" s="105">
        <v>0.14000000000000001</v>
      </c>
      <c r="D29" s="105"/>
      <c r="E29" s="112">
        <v>2.5000000000000001E-3</v>
      </c>
      <c r="F29" s="112">
        <v>0</v>
      </c>
      <c r="G29" s="113">
        <v>18.370777777777779</v>
      </c>
      <c r="H29" s="112">
        <v>0</v>
      </c>
      <c r="I29" s="112">
        <f t="shared" si="9"/>
        <v>0</v>
      </c>
      <c r="J29" s="112">
        <f t="shared" si="10"/>
        <v>2.5000000000000001E-3</v>
      </c>
      <c r="K29" s="112">
        <f t="shared" si="7"/>
        <v>0</v>
      </c>
      <c r="L29" s="112">
        <f t="shared" si="11"/>
        <v>0.14250000000000002</v>
      </c>
      <c r="M29" s="112">
        <f t="shared" si="12"/>
        <v>0.14000000000000001</v>
      </c>
      <c r="N29" s="112">
        <v>0</v>
      </c>
      <c r="O29" s="112">
        <v>0</v>
      </c>
      <c r="P29" s="112">
        <f t="shared" si="13"/>
        <v>0.14250000000000002</v>
      </c>
      <c r="Q29" s="112">
        <f t="shared" si="8"/>
        <v>0.14000000000000001</v>
      </c>
    </row>
    <row r="30" spans="2:17" x14ac:dyDescent="0.35">
      <c r="B30" s="7" t="s">
        <v>152</v>
      </c>
      <c r="C30" s="105">
        <v>0.14000000000000001</v>
      </c>
      <c r="D30" s="105"/>
      <c r="E30" s="112">
        <v>2.5000000000000001E-3</v>
      </c>
      <c r="F30" s="112">
        <v>0</v>
      </c>
      <c r="G30" s="113">
        <v>92.157891414141417</v>
      </c>
      <c r="H30" s="112">
        <v>8.3333333333333332E-3</v>
      </c>
      <c r="I30" s="112">
        <f t="shared" si="9"/>
        <v>7.4999999999999997E-3</v>
      </c>
      <c r="J30" s="112">
        <f t="shared" si="10"/>
        <v>1.0833333333333334E-2</v>
      </c>
      <c r="K30" s="112">
        <f t="shared" si="7"/>
        <v>7.4999999999999997E-3</v>
      </c>
      <c r="L30" s="112">
        <f t="shared" si="11"/>
        <v>0.15083333333333335</v>
      </c>
      <c r="M30" s="112">
        <f t="shared" si="12"/>
        <v>0.14750000000000002</v>
      </c>
      <c r="N30" s="112">
        <v>0</v>
      </c>
      <c r="O30" s="112">
        <v>0</v>
      </c>
      <c r="P30" s="112">
        <f t="shared" si="13"/>
        <v>0.15083333333333335</v>
      </c>
      <c r="Q30" s="112">
        <f t="shared" si="8"/>
        <v>0.14750000000000002</v>
      </c>
    </row>
    <row r="31" spans="2:17" x14ac:dyDescent="0.35">
      <c r="B31" s="7" t="s">
        <v>154</v>
      </c>
      <c r="C31" s="105">
        <v>0.14000000000000001</v>
      </c>
      <c r="D31" s="105"/>
      <c r="E31" s="112">
        <v>0</v>
      </c>
      <c r="F31" s="112">
        <v>0</v>
      </c>
      <c r="G31" s="113">
        <v>47.713313492063492</v>
      </c>
      <c r="H31" s="112">
        <v>2.5000000000000001E-3</v>
      </c>
      <c r="I31" s="112">
        <f t="shared" si="9"/>
        <v>5.0000000000000001E-3</v>
      </c>
      <c r="J31" s="112">
        <f t="shared" si="10"/>
        <v>2.5000000000000001E-3</v>
      </c>
      <c r="K31" s="112">
        <f t="shared" si="7"/>
        <v>5.0000000000000001E-3</v>
      </c>
      <c r="L31" s="112">
        <f t="shared" si="11"/>
        <v>0.14250000000000002</v>
      </c>
      <c r="M31" s="112">
        <f t="shared" si="12"/>
        <v>0.14500000000000002</v>
      </c>
      <c r="N31" s="112">
        <v>0</v>
      </c>
      <c r="O31" s="112">
        <v>0</v>
      </c>
      <c r="P31" s="112">
        <f t="shared" si="13"/>
        <v>0.14250000000000002</v>
      </c>
      <c r="Q31" s="112">
        <f t="shared" si="8"/>
        <v>0.14500000000000002</v>
      </c>
    </row>
    <row r="32" spans="2:17" x14ac:dyDescent="0.35">
      <c r="B32" s="7" t="s">
        <v>155</v>
      </c>
      <c r="C32" s="105">
        <v>0.14000000000000001</v>
      </c>
      <c r="D32" s="105"/>
      <c r="E32" s="112">
        <v>2.5000000000000001E-3</v>
      </c>
      <c r="F32" s="112">
        <v>0</v>
      </c>
      <c r="G32" s="113">
        <v>22.444324712643677</v>
      </c>
      <c r="H32" s="112">
        <v>0</v>
      </c>
      <c r="I32" s="112">
        <f t="shared" si="9"/>
        <v>0</v>
      </c>
      <c r="J32" s="112">
        <f t="shared" si="10"/>
        <v>2.5000000000000001E-3</v>
      </c>
      <c r="K32" s="112">
        <f t="shared" si="7"/>
        <v>0</v>
      </c>
      <c r="L32" s="112">
        <f t="shared" si="11"/>
        <v>0.14250000000000002</v>
      </c>
      <c r="M32" s="112">
        <f t="shared" si="12"/>
        <v>0.14000000000000001</v>
      </c>
      <c r="N32" s="112">
        <v>0</v>
      </c>
      <c r="O32" s="112">
        <v>0</v>
      </c>
      <c r="P32" s="112">
        <f t="shared" si="13"/>
        <v>0.14250000000000002</v>
      </c>
      <c r="Q32" s="112">
        <f t="shared" si="8"/>
        <v>0.14000000000000001</v>
      </c>
    </row>
    <row r="33" spans="2:17" x14ac:dyDescent="0.35">
      <c r="B33" s="7" t="s">
        <v>156</v>
      </c>
      <c r="C33" s="105">
        <v>0.14000000000000001</v>
      </c>
      <c r="D33" s="105"/>
      <c r="E33" s="112">
        <v>2.5000000000000001E-3</v>
      </c>
      <c r="F33" s="112">
        <v>0</v>
      </c>
      <c r="G33" s="113">
        <v>34.476979166666659</v>
      </c>
      <c r="H33" s="112">
        <v>2.5000000000000001E-3</v>
      </c>
      <c r="I33" s="112">
        <f t="shared" si="9"/>
        <v>0</v>
      </c>
      <c r="J33" s="112">
        <f t="shared" si="10"/>
        <v>5.0000000000000001E-3</v>
      </c>
      <c r="K33" s="112">
        <f t="shared" si="7"/>
        <v>0</v>
      </c>
      <c r="L33" s="112">
        <f t="shared" si="11"/>
        <v>0.14500000000000002</v>
      </c>
      <c r="M33" s="112">
        <f t="shared" si="12"/>
        <v>0.14000000000000001</v>
      </c>
      <c r="N33" s="112">
        <v>0</v>
      </c>
      <c r="O33" s="112">
        <v>0</v>
      </c>
      <c r="P33" s="112">
        <f t="shared" si="13"/>
        <v>0.14500000000000002</v>
      </c>
      <c r="Q33" s="112">
        <f t="shared" si="8"/>
        <v>0.14000000000000001</v>
      </c>
    </row>
    <row r="34" spans="2:17" x14ac:dyDescent="0.35">
      <c r="B34" s="7" t="s">
        <v>8</v>
      </c>
      <c r="C34" s="105">
        <v>0.14000000000000001</v>
      </c>
      <c r="D34" s="105"/>
      <c r="E34" s="112">
        <v>2.5000000000000001E-3</v>
      </c>
      <c r="F34" s="112">
        <v>0</v>
      </c>
      <c r="G34" s="113">
        <v>38.57</v>
      </c>
      <c r="H34" s="112">
        <v>0</v>
      </c>
      <c r="I34" s="112">
        <f t="shared" si="9"/>
        <v>0</v>
      </c>
      <c r="J34" s="112">
        <f t="shared" si="10"/>
        <v>2.5000000000000001E-3</v>
      </c>
      <c r="K34" s="112">
        <f t="shared" si="7"/>
        <v>0</v>
      </c>
      <c r="L34" s="112">
        <f t="shared" si="11"/>
        <v>0.14250000000000002</v>
      </c>
      <c r="M34" s="112">
        <f t="shared" si="12"/>
        <v>0.14000000000000001</v>
      </c>
      <c r="N34" s="112">
        <v>0</v>
      </c>
      <c r="O34" s="112">
        <v>0</v>
      </c>
      <c r="P34" s="112">
        <f t="shared" si="13"/>
        <v>0.14250000000000002</v>
      </c>
      <c r="Q34" s="112">
        <f t="shared" si="8"/>
        <v>0.14000000000000001</v>
      </c>
    </row>
    <row r="35" spans="2:17" x14ac:dyDescent="0.35">
      <c r="B35" s="7" t="s">
        <v>157</v>
      </c>
      <c r="C35" s="105">
        <v>0.14000000000000001</v>
      </c>
      <c r="D35" s="105"/>
      <c r="E35" s="112">
        <v>2.5000000000000001E-3</v>
      </c>
      <c r="F35" s="112">
        <v>0</v>
      </c>
      <c r="G35" s="113">
        <v>29.634782608695652</v>
      </c>
      <c r="H35" s="112">
        <v>0</v>
      </c>
      <c r="I35" s="112">
        <f t="shared" si="9"/>
        <v>0</v>
      </c>
      <c r="J35" s="112">
        <f t="shared" si="10"/>
        <v>2.5000000000000001E-3</v>
      </c>
      <c r="K35" s="112">
        <f t="shared" si="7"/>
        <v>0</v>
      </c>
      <c r="L35" s="112">
        <f t="shared" si="11"/>
        <v>0.14250000000000002</v>
      </c>
      <c r="M35" s="112">
        <f t="shared" si="12"/>
        <v>0.14000000000000001</v>
      </c>
      <c r="N35" s="112">
        <v>0</v>
      </c>
      <c r="O35" s="112">
        <v>0</v>
      </c>
      <c r="P35" s="112">
        <f t="shared" si="13"/>
        <v>0.14250000000000002</v>
      </c>
      <c r="Q35" s="112">
        <f t="shared" si="8"/>
        <v>0.14000000000000001</v>
      </c>
    </row>
    <row r="36" spans="2:17" x14ac:dyDescent="0.35">
      <c r="B36" s="7" t="s">
        <v>158</v>
      </c>
      <c r="C36" s="105">
        <v>0.14000000000000001</v>
      </c>
      <c r="D36" s="105"/>
      <c r="E36" s="112">
        <v>2.5000000000000001E-3</v>
      </c>
      <c r="F36" s="112">
        <v>0</v>
      </c>
      <c r="G36" s="113">
        <v>29.852734375000001</v>
      </c>
      <c r="H36" s="112">
        <v>0</v>
      </c>
      <c r="I36" s="112">
        <f t="shared" si="9"/>
        <v>0</v>
      </c>
      <c r="J36" s="112">
        <f t="shared" si="10"/>
        <v>2.5000000000000001E-3</v>
      </c>
      <c r="K36" s="112">
        <f t="shared" si="7"/>
        <v>0</v>
      </c>
      <c r="L36" s="112">
        <f t="shared" si="11"/>
        <v>0.14250000000000002</v>
      </c>
      <c r="M36" s="112">
        <f t="shared" si="12"/>
        <v>0.14000000000000001</v>
      </c>
      <c r="N36" s="112">
        <v>0</v>
      </c>
      <c r="O36" s="112">
        <v>0</v>
      </c>
      <c r="P36" s="112">
        <f t="shared" si="13"/>
        <v>0.14250000000000002</v>
      </c>
      <c r="Q36" s="112">
        <f t="shared" si="8"/>
        <v>0.14000000000000001</v>
      </c>
    </row>
    <row r="37" spans="2:17" x14ac:dyDescent="0.35">
      <c r="B37" s="7" t="s">
        <v>159</v>
      </c>
      <c r="C37" s="105">
        <v>0.14000000000000001</v>
      </c>
      <c r="D37" s="105"/>
      <c r="E37" s="112">
        <v>2.5000000000000001E-3</v>
      </c>
      <c r="F37" s="112">
        <v>0</v>
      </c>
      <c r="G37" s="113">
        <v>46.177268518518517</v>
      </c>
      <c r="H37" s="112">
        <v>2.5000000000000001E-3</v>
      </c>
      <c r="I37" s="112">
        <f t="shared" si="9"/>
        <v>5.0000000000000001E-3</v>
      </c>
      <c r="J37" s="112">
        <f t="shared" si="10"/>
        <v>5.0000000000000001E-3</v>
      </c>
      <c r="K37" s="112">
        <f t="shared" si="7"/>
        <v>5.0000000000000001E-3</v>
      </c>
      <c r="L37" s="112">
        <f t="shared" si="11"/>
        <v>0.14500000000000002</v>
      </c>
      <c r="M37" s="112">
        <f t="shared" si="12"/>
        <v>0.14500000000000002</v>
      </c>
      <c r="N37" s="112">
        <v>0</v>
      </c>
      <c r="O37" s="112">
        <v>0</v>
      </c>
      <c r="P37" s="112">
        <f t="shared" si="13"/>
        <v>0.14500000000000002</v>
      </c>
      <c r="Q37" s="112">
        <f t="shared" si="8"/>
        <v>0.14500000000000002</v>
      </c>
    </row>
    <row r="38" spans="2:17" x14ac:dyDescent="0.35">
      <c r="B38" s="7" t="s">
        <v>160</v>
      </c>
      <c r="C38" s="105">
        <v>0.14000000000000001</v>
      </c>
      <c r="D38" s="105"/>
      <c r="E38" s="112">
        <v>2.5000000000000001E-3</v>
      </c>
      <c r="F38" s="112">
        <v>0</v>
      </c>
      <c r="G38" s="113">
        <v>39.479999999999997</v>
      </c>
      <c r="H38" s="112">
        <v>0</v>
      </c>
      <c r="I38" s="112">
        <f t="shared" si="9"/>
        <v>0</v>
      </c>
      <c r="J38" s="112">
        <f t="shared" si="10"/>
        <v>2.5000000000000001E-3</v>
      </c>
      <c r="K38" s="112">
        <f t="shared" si="7"/>
        <v>0</v>
      </c>
      <c r="L38" s="112">
        <f t="shared" si="11"/>
        <v>0.14250000000000002</v>
      </c>
      <c r="M38" s="112">
        <f t="shared" si="12"/>
        <v>0.14000000000000001</v>
      </c>
      <c r="N38" s="112">
        <v>0</v>
      </c>
      <c r="O38" s="112">
        <v>0</v>
      </c>
      <c r="P38" s="112">
        <f t="shared" si="13"/>
        <v>0.14250000000000002</v>
      </c>
      <c r="Q38" s="112">
        <f t="shared" si="8"/>
        <v>0.14000000000000001</v>
      </c>
    </row>
    <row r="39" spans="2:17" x14ac:dyDescent="0.35">
      <c r="B39" s="7" t="s">
        <v>186</v>
      </c>
      <c r="C39" s="105">
        <v>0.14000000000000001</v>
      </c>
      <c r="D39" s="105"/>
      <c r="E39" s="112"/>
      <c r="F39" s="112"/>
      <c r="G39" s="113"/>
      <c r="H39" s="112"/>
      <c r="I39" s="112"/>
      <c r="J39" s="112">
        <f t="shared" si="10"/>
        <v>0</v>
      </c>
      <c r="K39" s="112">
        <f t="shared" si="7"/>
        <v>0</v>
      </c>
      <c r="L39" s="112">
        <f t="shared" si="11"/>
        <v>0.14000000000000001</v>
      </c>
      <c r="M39" s="112">
        <f t="shared" si="12"/>
        <v>0.14000000000000001</v>
      </c>
      <c r="N39" s="112">
        <v>0</v>
      </c>
      <c r="O39" s="112">
        <v>0</v>
      </c>
      <c r="P39" s="112">
        <f t="shared" si="13"/>
        <v>0.14000000000000001</v>
      </c>
      <c r="Q39" s="112">
        <f t="shared" si="8"/>
        <v>0.14000000000000001</v>
      </c>
    </row>
    <row r="40" spans="2:17" x14ac:dyDescent="0.35">
      <c r="B40" s="7" t="s">
        <v>187</v>
      </c>
      <c r="C40" s="105">
        <v>0.14000000000000001</v>
      </c>
      <c r="D40" s="105"/>
      <c r="E40" s="112"/>
      <c r="F40" s="112"/>
      <c r="G40" s="113"/>
      <c r="H40" s="112"/>
      <c r="I40" s="112"/>
      <c r="J40" s="112">
        <f t="shared" si="10"/>
        <v>0</v>
      </c>
      <c r="K40" s="112">
        <f t="shared" si="7"/>
        <v>0</v>
      </c>
      <c r="L40" s="112">
        <f t="shared" si="11"/>
        <v>0.14000000000000001</v>
      </c>
      <c r="M40" s="112">
        <f t="shared" si="12"/>
        <v>0.14000000000000001</v>
      </c>
      <c r="N40" s="112">
        <v>0</v>
      </c>
      <c r="O40" s="112">
        <v>0</v>
      </c>
      <c r="P40" s="112">
        <f t="shared" si="13"/>
        <v>0.14000000000000001</v>
      </c>
      <c r="Q40" s="112">
        <f t="shared" si="8"/>
        <v>0.14000000000000001</v>
      </c>
    </row>
    <row r="41" spans="2:17" x14ac:dyDescent="0.35">
      <c r="B41" s="7" t="s">
        <v>188</v>
      </c>
      <c r="C41" s="105">
        <v>0.14000000000000001</v>
      </c>
      <c r="D41" s="105"/>
      <c r="E41" s="112"/>
      <c r="F41" s="112"/>
      <c r="G41" s="113"/>
      <c r="H41" s="112"/>
      <c r="I41" s="112"/>
      <c r="J41" s="112">
        <f t="shared" si="10"/>
        <v>0</v>
      </c>
      <c r="K41" s="112">
        <f t="shared" si="7"/>
        <v>0</v>
      </c>
      <c r="L41" s="112">
        <f t="shared" si="11"/>
        <v>0.14000000000000001</v>
      </c>
      <c r="M41" s="112">
        <f t="shared" si="12"/>
        <v>0.14000000000000001</v>
      </c>
      <c r="N41" s="112">
        <v>0</v>
      </c>
      <c r="O41" s="112">
        <v>0</v>
      </c>
      <c r="P41" s="112">
        <f t="shared" si="13"/>
        <v>0.14000000000000001</v>
      </c>
      <c r="Q41" s="112">
        <f t="shared" si="8"/>
        <v>0.14000000000000001</v>
      </c>
    </row>
    <row r="42" spans="2:17" x14ac:dyDescent="0.35">
      <c r="B42" s="7" t="s">
        <v>189</v>
      </c>
      <c r="C42" s="105">
        <v>0.14000000000000001</v>
      </c>
      <c r="D42" s="105"/>
      <c r="E42" s="112"/>
      <c r="F42" s="112"/>
      <c r="G42" s="113"/>
      <c r="H42" s="112"/>
      <c r="I42" s="112"/>
      <c r="J42" s="112">
        <f t="shared" si="10"/>
        <v>0</v>
      </c>
      <c r="K42" s="112">
        <f t="shared" si="7"/>
        <v>0</v>
      </c>
      <c r="L42" s="112">
        <f t="shared" si="11"/>
        <v>0.14000000000000001</v>
      </c>
      <c r="M42" s="112">
        <f t="shared" si="12"/>
        <v>0.14000000000000001</v>
      </c>
      <c r="N42" s="112">
        <v>0</v>
      </c>
      <c r="O42" s="112">
        <v>0</v>
      </c>
      <c r="P42" s="112">
        <f t="shared" si="13"/>
        <v>0.14000000000000001</v>
      </c>
      <c r="Q42" s="112">
        <f t="shared" si="8"/>
        <v>0.14000000000000001</v>
      </c>
    </row>
  </sheetData>
  <mergeCells count="20">
    <mergeCell ref="J24:K24"/>
    <mergeCell ref="L24:M24"/>
    <mergeCell ref="N24:O24"/>
    <mergeCell ref="P24:Q24"/>
    <mergeCell ref="J3:K3"/>
    <mergeCell ref="L3:M3"/>
    <mergeCell ref="N3:O3"/>
    <mergeCell ref="P3:Q3"/>
    <mergeCell ref="H24:I24"/>
    <mergeCell ref="B3:B4"/>
    <mergeCell ref="C3:C4"/>
    <mergeCell ref="D3:D4"/>
    <mergeCell ref="E3:F3"/>
    <mergeCell ref="G3:G4"/>
    <mergeCell ref="H3:I3"/>
    <mergeCell ref="B24:B25"/>
    <mergeCell ref="C24:C25"/>
    <mergeCell ref="D24:D25"/>
    <mergeCell ref="E24:F24"/>
    <mergeCell ref="G24:G2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39"/>
  <sheetViews>
    <sheetView showGridLines="0" topLeftCell="A2" workbookViewId="0">
      <pane xSplit="2" ySplit="3" topLeftCell="C24" activePane="bottomRight" state="frozen"/>
      <selection activeCell="A2" sqref="A2"/>
      <selection pane="topRight" activeCell="C2" sqref="C2"/>
      <selection pane="bottomLeft" activeCell="A5" sqref="A5"/>
      <selection pane="bottomRight" activeCell="F33" sqref="F33"/>
    </sheetView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1.26953125" style="5" customWidth="1"/>
    <col min="4" max="4" width="10.54296875" style="5" customWidth="1"/>
    <col min="5" max="5" width="11.81640625" style="5" customWidth="1"/>
    <col min="6" max="6" width="11.26953125" style="5" customWidth="1"/>
    <col min="7" max="7" width="10.54296875" style="5" customWidth="1"/>
    <col min="8" max="8" width="11.81640625" style="5" customWidth="1"/>
    <col min="9" max="9" width="11.26953125" style="5" customWidth="1"/>
    <col min="10" max="10" width="10.54296875" style="5" customWidth="1"/>
    <col min="11" max="11" width="11.81640625" style="5" customWidth="1"/>
    <col min="12" max="12" width="11.26953125" style="5" customWidth="1"/>
    <col min="13" max="13" width="10.54296875" style="5" customWidth="1"/>
    <col min="14" max="14" width="11.81640625" style="5" customWidth="1"/>
    <col min="15" max="15" width="11.26953125" style="5" customWidth="1"/>
    <col min="16" max="16" width="10.54296875" style="5" customWidth="1"/>
    <col min="17" max="17" width="11.81640625" style="5" customWidth="1"/>
    <col min="18" max="18" width="11.26953125" style="5" customWidth="1"/>
    <col min="19" max="19" width="10.54296875" style="5" customWidth="1"/>
    <col min="20" max="20" width="11.81640625" style="5" customWidth="1"/>
    <col min="21" max="16384" width="9.1796875" style="5"/>
  </cols>
  <sheetData>
    <row r="2" spans="2:20" x14ac:dyDescent="0.35">
      <c r="B2" s="3" t="s">
        <v>24</v>
      </c>
    </row>
    <row r="3" spans="2:20" x14ac:dyDescent="0.35">
      <c r="B3" s="187" t="s">
        <v>170</v>
      </c>
      <c r="C3" s="187" t="s">
        <v>31</v>
      </c>
      <c r="D3" s="187"/>
      <c r="E3" s="187"/>
      <c r="F3" s="187" t="s">
        <v>32</v>
      </c>
      <c r="G3" s="187"/>
      <c r="H3" s="187"/>
      <c r="I3" s="187" t="s">
        <v>33</v>
      </c>
      <c r="J3" s="187"/>
      <c r="K3" s="187"/>
      <c r="L3" s="187" t="s">
        <v>34</v>
      </c>
      <c r="M3" s="187"/>
      <c r="N3" s="187"/>
      <c r="O3" s="187" t="s">
        <v>35</v>
      </c>
      <c r="P3" s="187"/>
      <c r="Q3" s="187"/>
      <c r="R3" s="187" t="s">
        <v>127</v>
      </c>
      <c r="S3" s="187"/>
      <c r="T3" s="187"/>
    </row>
    <row r="4" spans="2:20" ht="30" x14ac:dyDescent="0.35">
      <c r="B4" s="187"/>
      <c r="C4" s="96" t="s">
        <v>171</v>
      </c>
      <c r="D4" s="96" t="s">
        <v>131</v>
      </c>
      <c r="E4" s="96" t="s">
        <v>132</v>
      </c>
      <c r="F4" s="96" t="s">
        <v>172</v>
      </c>
      <c r="G4" s="96" t="s">
        <v>131</v>
      </c>
      <c r="H4" s="96" t="s">
        <v>132</v>
      </c>
      <c r="I4" s="96" t="s">
        <v>172</v>
      </c>
      <c r="J4" s="96" t="s">
        <v>131</v>
      </c>
      <c r="K4" s="96" t="s">
        <v>132</v>
      </c>
      <c r="L4" s="96" t="s">
        <v>172</v>
      </c>
      <c r="M4" s="96" t="s">
        <v>131</v>
      </c>
      <c r="N4" s="96" t="s">
        <v>132</v>
      </c>
      <c r="O4" s="96" t="s">
        <v>172</v>
      </c>
      <c r="P4" s="96" t="s">
        <v>131</v>
      </c>
      <c r="Q4" s="96" t="s">
        <v>132</v>
      </c>
      <c r="R4" s="96" t="s">
        <v>172</v>
      </c>
      <c r="S4" s="96" t="s">
        <v>131</v>
      </c>
      <c r="T4" s="96" t="s">
        <v>132</v>
      </c>
    </row>
    <row r="5" spans="2:20" x14ac:dyDescent="0.35">
      <c r="B5" s="7" t="s">
        <v>43</v>
      </c>
      <c r="C5" s="97">
        <v>10.6</v>
      </c>
      <c r="D5" s="97">
        <f>E25</f>
        <v>9.8194460020416265</v>
      </c>
      <c r="E5" s="97">
        <f>H25</f>
        <v>9.8194460020416265</v>
      </c>
      <c r="F5" s="97">
        <v>14.443960577627552</v>
      </c>
      <c r="G5" s="97">
        <f>K25</f>
        <v>10.920626918916366</v>
      </c>
      <c r="H5" s="97">
        <f>N25</f>
        <v>8.9321540062769671</v>
      </c>
      <c r="I5" s="97">
        <v>8.5921193122766581</v>
      </c>
      <c r="J5" s="97">
        <f>Q25</f>
        <v>11.092146670212243</v>
      </c>
      <c r="K5" s="97">
        <f>T25</f>
        <v>9.1032271268061731</v>
      </c>
      <c r="L5" s="97">
        <v>12.067726325777249</v>
      </c>
      <c r="M5" s="97">
        <f>W25</f>
        <v>11.246812938360755</v>
      </c>
      <c r="N5" s="97">
        <f>Z25</f>
        <v>9.2146957380527201</v>
      </c>
      <c r="O5" s="97">
        <v>21.010431326188527</v>
      </c>
      <c r="P5" s="97">
        <f>AC25</f>
        <v>21.840515559301199</v>
      </c>
      <c r="Q5" s="97">
        <f>AF25</f>
        <v>19.242023607733216</v>
      </c>
      <c r="R5" s="97">
        <v>23.687312060133497</v>
      </c>
      <c r="S5" s="97">
        <f>AI25</f>
        <v>21.840515559301195</v>
      </c>
      <c r="T5" s="97">
        <f>AL25</f>
        <v>19.24202360773322</v>
      </c>
    </row>
    <row r="6" spans="2:20" x14ac:dyDescent="0.35">
      <c r="B6" s="7" t="s">
        <v>150</v>
      </c>
      <c r="C6" s="97">
        <v>29.558530007462409</v>
      </c>
      <c r="D6" s="97">
        <f t="shared" ref="D6:D18" si="0">E26</f>
        <v>28.733675965256044</v>
      </c>
      <c r="E6" s="97">
        <f t="shared" ref="E6:E18" si="1">H26</f>
        <v>28.719067009190308</v>
      </c>
      <c r="F6" s="97">
        <v>38.547155670518798</v>
      </c>
      <c r="G6" s="97">
        <f t="shared" ref="G6:G18" si="2">K26</f>
        <v>33.87716062820445</v>
      </c>
      <c r="H6" s="97">
        <f t="shared" ref="H6:H18" si="3">N26</f>
        <v>33.85936877652604</v>
      </c>
      <c r="I6" s="97">
        <v>53.389204214208107</v>
      </c>
      <c r="J6" s="97">
        <f t="shared" ref="J6:J18" si="4">Q26</f>
        <v>70.966258244664886</v>
      </c>
      <c r="K6" s="97">
        <f t="shared" ref="K6:K18" si="5">T26</f>
        <v>67.871059522425767</v>
      </c>
      <c r="L6" s="97">
        <v>67.383698697847635</v>
      </c>
      <c r="M6" s="97">
        <f t="shared" ref="M6:M18" si="6">W26</f>
        <v>93.956399545314753</v>
      </c>
      <c r="N6" s="97">
        <f t="shared" ref="N6:N18" si="7">Z26</f>
        <v>89.113843382013087</v>
      </c>
      <c r="O6" s="97">
        <v>71.595862850499714</v>
      </c>
      <c r="P6" s="97">
        <f t="shared" ref="P6:P18" si="8">AC26</f>
        <v>144.67842052108455</v>
      </c>
      <c r="Q6" s="97">
        <f t="shared" ref="Q6:Q18" si="9">AF26</f>
        <v>107.42842972514664</v>
      </c>
      <c r="R6" s="97">
        <v>76.476624487699695</v>
      </c>
      <c r="S6" s="97">
        <f t="shared" ref="S6:S18" si="10">AI26</f>
        <v>252.77028112484282</v>
      </c>
      <c r="T6" s="97">
        <f t="shared" ref="T6:T18" si="11">AL26</f>
        <v>215.49130361664731</v>
      </c>
    </row>
    <row r="7" spans="2:20" x14ac:dyDescent="0.35">
      <c r="B7" s="7" t="s">
        <v>151</v>
      </c>
      <c r="C7" s="97">
        <v>22.247926734171635</v>
      </c>
      <c r="D7" s="97">
        <f t="shared" si="0"/>
        <v>20.994773037228818</v>
      </c>
      <c r="E7" s="97">
        <f t="shared" si="1"/>
        <v>20.994773037228818</v>
      </c>
      <c r="F7" s="97">
        <v>33.593774021512566</v>
      </c>
      <c r="G7" s="97">
        <f t="shared" si="2"/>
        <v>21.828565134195518</v>
      </c>
      <c r="H7" s="97">
        <f t="shared" si="3"/>
        <v>21.819917115245222</v>
      </c>
      <c r="I7" s="97">
        <v>39.811316456721691</v>
      </c>
      <c r="J7" s="97">
        <f t="shared" si="4"/>
        <v>23.785149759123733</v>
      </c>
      <c r="K7" s="97">
        <f t="shared" si="5"/>
        <v>23.645186760020508</v>
      </c>
      <c r="L7" s="97">
        <v>43.086519472962998</v>
      </c>
      <c r="M7" s="97">
        <f t="shared" si="6"/>
        <v>26.94495383875077</v>
      </c>
      <c r="N7" s="97">
        <f t="shared" si="7"/>
        <v>25.929016595100229</v>
      </c>
      <c r="O7" s="97">
        <v>44.240978819149092</v>
      </c>
      <c r="P7" s="97">
        <f t="shared" si="8"/>
        <v>135.06192361978711</v>
      </c>
      <c r="Q7" s="97">
        <f t="shared" si="9"/>
        <v>57.800979722515564</v>
      </c>
      <c r="R7" s="97">
        <v>45.501061161326597</v>
      </c>
      <c r="S7" s="97">
        <f t="shared" si="10"/>
        <v>161.40567402291123</v>
      </c>
      <c r="T7" s="97">
        <f t="shared" si="11"/>
        <v>65.902942144125149</v>
      </c>
    </row>
    <row r="8" spans="2:20" x14ac:dyDescent="0.35">
      <c r="B8" s="7" t="s">
        <v>44</v>
      </c>
      <c r="C8" s="97">
        <v>56.13</v>
      </c>
      <c r="D8" s="97">
        <f t="shared" si="0"/>
        <v>63.367227799232211</v>
      </c>
      <c r="E8" s="97">
        <f t="shared" si="1"/>
        <v>63.367227799232211</v>
      </c>
      <c r="F8" s="97">
        <v>68.420500892867679</v>
      </c>
      <c r="G8" s="97">
        <f t="shared" si="2"/>
        <v>67.873981493610074</v>
      </c>
      <c r="H8" s="97">
        <f t="shared" si="3"/>
        <v>66.847023810220904</v>
      </c>
      <c r="I8" s="97">
        <v>72.196329063885102</v>
      </c>
      <c r="J8" s="97">
        <f t="shared" si="4"/>
        <v>34.921568728083102</v>
      </c>
      <c r="K8" s="97">
        <f t="shared" si="5"/>
        <v>34.540360558477786</v>
      </c>
      <c r="L8" s="97">
        <v>76.644887463885098</v>
      </c>
      <c r="M8" s="97">
        <f t="shared" si="6"/>
        <v>35.82021592993825</v>
      </c>
      <c r="N8" s="97">
        <f t="shared" si="7"/>
        <v>28.024705099503009</v>
      </c>
      <c r="O8" s="97">
        <v>80.790216156272621</v>
      </c>
      <c r="P8" s="97">
        <f t="shared" si="8"/>
        <v>67.387388568350744</v>
      </c>
      <c r="Q8" s="97">
        <f t="shared" si="9"/>
        <v>36.587171687895555</v>
      </c>
      <c r="R8" s="97">
        <v>84.632315141047656</v>
      </c>
      <c r="S8" s="97">
        <f t="shared" si="10"/>
        <v>76.980052355099374</v>
      </c>
      <c r="T8" s="97">
        <f t="shared" si="11"/>
        <v>36.587171687895555</v>
      </c>
    </row>
    <row r="9" spans="2:20" x14ac:dyDescent="0.35">
      <c r="B9" s="7" t="s">
        <v>152</v>
      </c>
      <c r="C9" s="97">
        <v>24.64</v>
      </c>
      <c r="D9" s="97">
        <f t="shared" si="0"/>
        <v>15.317721155028982</v>
      </c>
      <c r="E9" s="97">
        <f t="shared" si="1"/>
        <v>15.317721155028982</v>
      </c>
      <c r="F9" s="97">
        <v>15.487563584193486</v>
      </c>
      <c r="G9" s="97">
        <f t="shared" si="2"/>
        <v>16.069712742212733</v>
      </c>
      <c r="H9" s="97">
        <f t="shared" si="3"/>
        <v>7.76845909804684</v>
      </c>
      <c r="I9" s="97">
        <v>22.748279363315952</v>
      </c>
      <c r="J9" s="97">
        <f t="shared" si="4"/>
        <v>17.266521016852881</v>
      </c>
      <c r="K9" s="97">
        <f t="shared" si="5"/>
        <v>8.7525865029106988</v>
      </c>
      <c r="L9" s="97">
        <v>29.086514657433586</v>
      </c>
      <c r="M9" s="97">
        <f t="shared" si="6"/>
        <v>29.843878463682984</v>
      </c>
      <c r="N9" s="97">
        <f t="shared" si="7"/>
        <v>20.769394738728725</v>
      </c>
      <c r="O9" s="97">
        <v>35.114727764317003</v>
      </c>
      <c r="P9" s="97">
        <f t="shared" si="8"/>
        <v>52.300161482973742</v>
      </c>
      <c r="Q9" s="97">
        <f t="shared" si="9"/>
        <v>33.883339643352166</v>
      </c>
      <c r="R9" s="97">
        <v>24.096956519590286</v>
      </c>
      <c r="S9" s="97">
        <f t="shared" si="10"/>
        <v>127.22935994375216</v>
      </c>
      <c r="T9" s="97">
        <f t="shared" si="11"/>
        <v>42.985226435805025</v>
      </c>
    </row>
    <row r="10" spans="2:20" x14ac:dyDescent="0.35">
      <c r="B10" s="7" t="s">
        <v>154</v>
      </c>
      <c r="C10" s="97">
        <v>2.41</v>
      </c>
      <c r="D10" s="97">
        <f t="shared" si="0"/>
        <v>3.3762555058675829</v>
      </c>
      <c r="E10" s="97">
        <f t="shared" si="1"/>
        <v>3.3762555058675829</v>
      </c>
      <c r="F10" s="97">
        <v>17.964188797150417</v>
      </c>
      <c r="G10" s="97">
        <f t="shared" si="2"/>
        <v>4.214941893998108</v>
      </c>
      <c r="H10" s="97">
        <f t="shared" si="3"/>
        <v>5.2082109146872195</v>
      </c>
      <c r="I10" s="97">
        <v>25.203120431397178</v>
      </c>
      <c r="J10" s="97">
        <f t="shared" si="4"/>
        <v>4.1521303428564877</v>
      </c>
      <c r="K10" s="97">
        <f t="shared" si="5"/>
        <v>5.197749510484968</v>
      </c>
      <c r="L10" s="97">
        <v>35.113620431397223</v>
      </c>
      <c r="M10" s="97">
        <f t="shared" si="6"/>
        <v>9.006309746172132</v>
      </c>
      <c r="N10" s="97">
        <f t="shared" si="7"/>
        <v>15.56274951048494</v>
      </c>
      <c r="O10" s="97">
        <v>36.075718970116675</v>
      </c>
      <c r="P10" s="97">
        <f t="shared" si="8"/>
        <v>28.108784754386456</v>
      </c>
      <c r="Q10" s="97">
        <f t="shared" si="9"/>
        <v>66.863004021804869</v>
      </c>
      <c r="R10" s="97">
        <v>37.999916047555644</v>
      </c>
      <c r="S10" s="97">
        <f t="shared" si="10"/>
        <v>33.399548113165096</v>
      </c>
      <c r="T10" s="97">
        <f t="shared" si="11"/>
        <v>74.513004021804846</v>
      </c>
    </row>
    <row r="11" spans="2:20" x14ac:dyDescent="0.35">
      <c r="B11" s="7" t="s">
        <v>223</v>
      </c>
      <c r="C11" s="97">
        <v>161.62715468479604</v>
      </c>
      <c r="D11" s="97">
        <f t="shared" si="0"/>
        <v>161.69748949689082</v>
      </c>
      <c r="E11" s="97">
        <f t="shared" si="1"/>
        <v>161.665757089099</v>
      </c>
      <c r="F11" s="97">
        <v>164.88448026490434</v>
      </c>
      <c r="G11" s="97">
        <f t="shared" si="2"/>
        <v>161.86226278648749</v>
      </c>
      <c r="H11" s="97">
        <f t="shared" si="3"/>
        <v>161.76102072141887</v>
      </c>
      <c r="I11" s="97">
        <v>166.36537770959876</v>
      </c>
      <c r="J11" s="97">
        <f t="shared" si="4"/>
        <v>82.749709895076165</v>
      </c>
      <c r="K11" s="97">
        <f t="shared" si="5"/>
        <v>82.415849037173615</v>
      </c>
      <c r="L11" s="97">
        <v>82.722530219045964</v>
      </c>
      <c r="M11" s="97">
        <f t="shared" si="6"/>
        <v>88.959642120484745</v>
      </c>
      <c r="N11" s="97">
        <f t="shared" si="7"/>
        <v>88.617626275134967</v>
      </c>
      <c r="O11" s="97">
        <v>72.898274076400526</v>
      </c>
      <c r="P11" s="97">
        <f t="shared" si="8"/>
        <v>79.000524873893085</v>
      </c>
      <c r="Q11" s="97">
        <f t="shared" si="9"/>
        <v>78.317158478827935</v>
      </c>
      <c r="R11" s="97">
        <v>75.057657638044375</v>
      </c>
      <c r="S11" s="97">
        <f t="shared" si="10"/>
        <v>171.89472403230772</v>
      </c>
      <c r="T11" s="97">
        <f t="shared" si="11"/>
        <v>166.28497194217772</v>
      </c>
    </row>
    <row r="12" spans="2:20" x14ac:dyDescent="0.35">
      <c r="B12" s="7" t="s">
        <v>224</v>
      </c>
      <c r="C12" s="97">
        <v>151.41971754200253</v>
      </c>
      <c r="D12" s="97">
        <f t="shared" si="0"/>
        <v>153.41767351167729</v>
      </c>
      <c r="E12" s="97">
        <f t="shared" si="1"/>
        <v>153.41767351167729</v>
      </c>
      <c r="F12" s="97">
        <v>155.36284479965067</v>
      </c>
      <c r="G12" s="97">
        <f t="shared" si="2"/>
        <v>156.22578488692861</v>
      </c>
      <c r="H12" s="97">
        <f t="shared" si="3"/>
        <v>156.22475262276819</v>
      </c>
      <c r="I12" s="97">
        <v>159.07187787680223</v>
      </c>
      <c r="J12" s="97">
        <f t="shared" si="4"/>
        <v>77.20132235070183</v>
      </c>
      <c r="K12" s="97">
        <f t="shared" si="5"/>
        <v>77.000807903872868</v>
      </c>
      <c r="L12" s="97">
        <v>76.849057706581547</v>
      </c>
      <c r="M12" s="97">
        <f t="shared" si="6"/>
        <v>80.750675864806681</v>
      </c>
      <c r="N12" s="97">
        <f t="shared" si="7"/>
        <v>80.423739212785947</v>
      </c>
      <c r="O12" s="97">
        <v>67.982456866699863</v>
      </c>
      <c r="P12" s="97">
        <f t="shared" si="8"/>
        <v>79.615938286732259</v>
      </c>
      <c r="Q12" s="97">
        <f t="shared" si="9"/>
        <v>78.353192064297531</v>
      </c>
      <c r="R12" s="97">
        <v>68.579264616923467</v>
      </c>
      <c r="S12" s="97">
        <f t="shared" si="10"/>
        <v>184.7263812400241</v>
      </c>
      <c r="T12" s="97">
        <f t="shared" si="11"/>
        <v>90.0166174663932</v>
      </c>
    </row>
    <row r="13" spans="2:20" x14ac:dyDescent="0.35">
      <c r="B13" s="7" t="s">
        <v>8</v>
      </c>
      <c r="C13" s="97">
        <v>176.98533185143586</v>
      </c>
      <c r="D13" s="97">
        <f t="shared" si="0"/>
        <v>177.4979677009311</v>
      </c>
      <c r="E13" s="97">
        <f t="shared" si="1"/>
        <v>177.4979677009311</v>
      </c>
      <c r="F13" s="97">
        <v>182.03367185143586</v>
      </c>
      <c r="G13" s="97">
        <f t="shared" si="2"/>
        <v>180.02030633775797</v>
      </c>
      <c r="H13" s="97">
        <f t="shared" si="3"/>
        <v>182.11428842455439</v>
      </c>
      <c r="I13" s="97">
        <v>185.78389085143587</v>
      </c>
      <c r="J13" s="97">
        <f t="shared" si="4"/>
        <v>182.1188024868066</v>
      </c>
      <c r="K13" s="97">
        <f t="shared" si="5"/>
        <v>184.21278457364002</v>
      </c>
      <c r="L13" s="97">
        <v>186.87798449947098</v>
      </c>
      <c r="M13" s="97">
        <f t="shared" si="6"/>
        <v>180.71855721510624</v>
      </c>
      <c r="N13" s="97">
        <f t="shared" si="7"/>
        <v>182.69517548090818</v>
      </c>
      <c r="O13" s="97">
        <v>188.33628006115615</v>
      </c>
      <c r="P13" s="97">
        <f t="shared" si="8"/>
        <v>190.26499773709261</v>
      </c>
      <c r="Q13" s="97">
        <f t="shared" si="9"/>
        <v>190.30379698931353</v>
      </c>
      <c r="R13" s="97">
        <v>188.48715203281691</v>
      </c>
      <c r="S13" s="97">
        <f t="shared" si="10"/>
        <v>209.15516046390499</v>
      </c>
      <c r="T13" s="97">
        <f t="shared" si="11"/>
        <v>203.47180060192028</v>
      </c>
    </row>
    <row r="14" spans="2:20" x14ac:dyDescent="0.35">
      <c r="B14" s="7" t="s">
        <v>225</v>
      </c>
      <c r="C14" s="97">
        <v>333.26858923148239</v>
      </c>
      <c r="D14" s="97">
        <f t="shared" si="0"/>
        <v>342.11433032612871</v>
      </c>
      <c r="E14" s="97">
        <f t="shared" si="1"/>
        <v>341.4232185006291</v>
      </c>
      <c r="F14" s="97">
        <v>336.42340020486421</v>
      </c>
      <c r="G14" s="97">
        <f t="shared" si="2"/>
        <v>344.67563723666478</v>
      </c>
      <c r="H14" s="97">
        <f t="shared" si="3"/>
        <v>343.57857554058791</v>
      </c>
      <c r="I14" s="97">
        <v>338.91305586265815</v>
      </c>
      <c r="J14" s="97">
        <f t="shared" si="4"/>
        <v>346.08574423752088</v>
      </c>
      <c r="K14" s="97">
        <f t="shared" si="5"/>
        <v>344.98847920740093</v>
      </c>
      <c r="L14" s="97">
        <v>340.96526833428385</v>
      </c>
      <c r="M14" s="97">
        <f t="shared" si="6"/>
        <v>347.25002523521493</v>
      </c>
      <c r="N14" s="97">
        <f t="shared" si="7"/>
        <v>346.1593204873999</v>
      </c>
      <c r="O14" s="97">
        <v>342.19840340729377</v>
      </c>
      <c r="P14" s="97">
        <f t="shared" si="8"/>
        <v>349.55370324854522</v>
      </c>
      <c r="Q14" s="97">
        <f t="shared" si="9"/>
        <v>346.80006250073023</v>
      </c>
      <c r="R14" s="97">
        <v>343.32847642594419</v>
      </c>
      <c r="S14" s="97">
        <f t="shared" si="10"/>
        <v>379.36669524854523</v>
      </c>
      <c r="T14" s="97">
        <f t="shared" si="11"/>
        <v>358.87160437193887</v>
      </c>
    </row>
    <row r="15" spans="2:20" x14ac:dyDescent="0.35">
      <c r="B15" s="7" t="s">
        <v>226</v>
      </c>
      <c r="C15" s="97">
        <v>625.76232912580565</v>
      </c>
      <c r="D15" s="97">
        <f t="shared" si="0"/>
        <v>669.30799966334098</v>
      </c>
      <c r="E15" s="97">
        <f t="shared" si="1"/>
        <v>662.23668491060198</v>
      </c>
      <c r="F15" s="97">
        <v>636.49624519780559</v>
      </c>
      <c r="G15" s="97">
        <f t="shared" si="2"/>
        <v>678.94262601966363</v>
      </c>
      <c r="H15" s="97">
        <f t="shared" si="3"/>
        <v>671.87153783019414</v>
      </c>
      <c r="I15" s="97">
        <v>643.94518993180554</v>
      </c>
      <c r="J15" s="97">
        <f t="shared" si="4"/>
        <v>690.12281843290612</v>
      </c>
      <c r="K15" s="97">
        <f t="shared" si="5"/>
        <v>683.05168960898106</v>
      </c>
      <c r="L15" s="97">
        <v>650.39732075980555</v>
      </c>
      <c r="M15" s="97">
        <f t="shared" si="6"/>
        <v>705.72210335819898</v>
      </c>
      <c r="N15" s="97">
        <f t="shared" si="7"/>
        <v>697.51317800825291</v>
      </c>
      <c r="O15" s="97">
        <v>655.16204206180555</v>
      </c>
      <c r="P15" s="97">
        <f t="shared" si="8"/>
        <v>719.55964053683601</v>
      </c>
      <c r="Q15" s="97">
        <f t="shared" si="9"/>
        <v>706.62986507994412</v>
      </c>
      <c r="R15" s="97">
        <v>658.23935383780542</v>
      </c>
      <c r="S15" s="97">
        <f t="shared" si="10"/>
        <v>779.94832053683604</v>
      </c>
      <c r="T15" s="97">
        <f t="shared" si="11"/>
        <v>734.04864107994422</v>
      </c>
    </row>
    <row r="16" spans="2:20" x14ac:dyDescent="0.35">
      <c r="B16" s="7" t="s">
        <v>227</v>
      </c>
      <c r="C16" s="97">
        <v>306.62319497398306</v>
      </c>
      <c r="D16" s="97">
        <f t="shared" si="0"/>
        <v>321.18711571885598</v>
      </c>
      <c r="E16" s="97">
        <f t="shared" si="1"/>
        <v>321.18711571885598</v>
      </c>
      <c r="F16" s="97">
        <v>314.44630697398298</v>
      </c>
      <c r="G16" s="97">
        <f t="shared" si="2"/>
        <v>322.742751994412</v>
      </c>
      <c r="H16" s="97">
        <f t="shared" si="3"/>
        <v>322.74265188031723</v>
      </c>
      <c r="I16" s="97">
        <v>321.58255697398306</v>
      </c>
      <c r="J16" s="97">
        <f t="shared" si="4"/>
        <v>330.34400742010479</v>
      </c>
      <c r="K16" s="97">
        <f t="shared" si="5"/>
        <v>330.34382050781676</v>
      </c>
      <c r="L16" s="97">
        <v>325.97459297398302</v>
      </c>
      <c r="M16" s="97">
        <f t="shared" si="6"/>
        <v>340.45219858892062</v>
      </c>
      <c r="N16" s="97">
        <f t="shared" si="7"/>
        <v>340.45204761448264</v>
      </c>
      <c r="O16" s="97">
        <v>329.35421726686297</v>
      </c>
      <c r="P16" s="97">
        <f t="shared" si="8"/>
        <v>353.25797617413002</v>
      </c>
      <c r="Q16" s="97">
        <f t="shared" si="9"/>
        <v>352.66567319969198</v>
      </c>
      <c r="R16" s="97">
        <v>331.72142985262303</v>
      </c>
      <c r="S16" s="97">
        <f t="shared" si="10"/>
        <v>370.87760017413001</v>
      </c>
      <c r="T16" s="97">
        <f t="shared" si="11"/>
        <v>366.44700119969195</v>
      </c>
    </row>
    <row r="17" spans="2:38" x14ac:dyDescent="0.35">
      <c r="B17" s="7" t="s">
        <v>160</v>
      </c>
      <c r="C17" s="97">
        <v>90.8</v>
      </c>
      <c r="D17" s="97">
        <f t="shared" si="0"/>
        <v>93.476948123354603</v>
      </c>
      <c r="E17" s="97">
        <f t="shared" si="1"/>
        <v>93.475624499132977</v>
      </c>
      <c r="F17" s="97">
        <v>93.498764283738112</v>
      </c>
      <c r="G17" s="97">
        <f t="shared" si="2"/>
        <v>93.880787371893092</v>
      </c>
      <c r="H17" s="97">
        <f t="shared" si="3"/>
        <v>93.878285368072113</v>
      </c>
      <c r="I17" s="97">
        <v>96.055637586678117</v>
      </c>
      <c r="J17" s="97">
        <f t="shared" si="4"/>
        <v>94.83285245369828</v>
      </c>
      <c r="K17" s="97">
        <f t="shared" si="5"/>
        <v>94.830285327585358</v>
      </c>
      <c r="L17" s="97">
        <v>97.760219788638111</v>
      </c>
      <c r="M17" s="97">
        <f t="shared" si="6"/>
        <v>98.22882881431353</v>
      </c>
      <c r="N17" s="97">
        <f t="shared" si="7"/>
        <v>98.225484671210936</v>
      </c>
      <c r="O17" s="97">
        <v>98.859810943938115</v>
      </c>
      <c r="P17" s="97">
        <f t="shared" si="8"/>
        <v>101.15802456465526</v>
      </c>
      <c r="Q17" s="97">
        <f t="shared" si="9"/>
        <v>101.15402715619265</v>
      </c>
      <c r="R17" s="97">
        <v>99.354411052578115</v>
      </c>
      <c r="S17" s="97">
        <f t="shared" si="10"/>
        <v>107.22896856465526</v>
      </c>
      <c r="T17" s="97">
        <f t="shared" si="11"/>
        <v>103.70981115619264</v>
      </c>
    </row>
    <row r="18" spans="2:38" x14ac:dyDescent="0.35">
      <c r="B18" s="7" t="s">
        <v>161</v>
      </c>
      <c r="C18" s="97">
        <v>8.27</v>
      </c>
      <c r="D18" s="97">
        <f t="shared" si="0"/>
        <v>31.269661962585602</v>
      </c>
      <c r="E18" s="97">
        <f t="shared" si="1"/>
        <v>31.269661962585602</v>
      </c>
      <c r="F18" s="97">
        <v>15.639380246289765</v>
      </c>
      <c r="G18" s="97">
        <f t="shared" si="2"/>
        <v>33.601601454323145</v>
      </c>
      <c r="H18" s="97">
        <f t="shared" si="3"/>
        <v>35.101921371528974</v>
      </c>
      <c r="I18" s="97">
        <v>19.745728610744802</v>
      </c>
      <c r="J18" s="97">
        <f t="shared" si="4"/>
        <v>34.039389121041523</v>
      </c>
      <c r="K18" s="97">
        <f t="shared" si="5"/>
        <v>36.749182397072985</v>
      </c>
      <c r="L18" s="97">
        <v>25.824601873741624</v>
      </c>
      <c r="M18" s="97">
        <f t="shared" si="6"/>
        <v>10.52872249027522</v>
      </c>
      <c r="N18" s="97">
        <f t="shared" si="7"/>
        <v>11.708729755678457</v>
      </c>
      <c r="O18" s="97">
        <v>26.853824987534345</v>
      </c>
      <c r="P18" s="97">
        <f t="shared" si="8"/>
        <v>15.019526491391773</v>
      </c>
      <c r="Q18" s="97">
        <f t="shared" si="9"/>
        <v>14.725155541920241</v>
      </c>
      <c r="R18" s="97">
        <v>27.257101619518505</v>
      </c>
      <c r="S18" s="97">
        <f t="shared" si="10"/>
        <v>21.93443711376807</v>
      </c>
      <c r="T18" s="97">
        <f t="shared" si="11"/>
        <v>19.070698708523864</v>
      </c>
    </row>
    <row r="19" spans="2:38" x14ac:dyDescent="0.35">
      <c r="B19" s="12" t="s">
        <v>27</v>
      </c>
      <c r="C19" s="98">
        <f>SUM(C5:C18)</f>
        <v>2000.3427741511398</v>
      </c>
      <c r="D19" s="98">
        <f t="shared" ref="D19:E19" si="12">SUM(D5:D18)</f>
        <v>2091.5782859684205</v>
      </c>
      <c r="E19" s="98">
        <f t="shared" si="12"/>
        <v>2083.7681944021028</v>
      </c>
      <c r="F19" s="98">
        <f>SUM(F5:F18)</f>
        <v>2087.2422373665422</v>
      </c>
      <c r="G19" s="98">
        <f t="shared" ref="G19:H19" si="13">SUM(G5:G18)</f>
        <v>2126.7367468992679</v>
      </c>
      <c r="H19" s="98">
        <f t="shared" si="13"/>
        <v>2111.7081674804454</v>
      </c>
      <c r="I19" s="98">
        <f>SUM(I5:I18)</f>
        <v>2153.4036842455112</v>
      </c>
      <c r="J19" s="98">
        <f t="shared" ref="J19:K19" si="14">SUM(J5:J18)</f>
        <v>1999.6784211596496</v>
      </c>
      <c r="K19" s="98">
        <f t="shared" si="14"/>
        <v>1982.7030685446696</v>
      </c>
      <c r="L19" s="98">
        <f>SUM(L5:L18)</f>
        <v>2050.7545432048546</v>
      </c>
      <c r="M19" s="98">
        <f t="shared" ref="M19:N19" si="15">SUM(M5:M18)</f>
        <v>2059.4293241495407</v>
      </c>
      <c r="N19" s="98">
        <f t="shared" si="15"/>
        <v>2034.4097065697365</v>
      </c>
      <c r="O19" s="98">
        <f>SUM(O5:O18)</f>
        <v>2070.4732455582348</v>
      </c>
      <c r="P19" s="98">
        <f t="shared" ref="P19:Q19" si="16">SUM(P5:P18)</f>
        <v>2336.8075264191598</v>
      </c>
      <c r="Q19" s="98">
        <f t="shared" si="16"/>
        <v>2190.7538794193661</v>
      </c>
      <c r="R19" s="98">
        <f>SUM(R5:R18)</f>
        <v>2084.4190324936071</v>
      </c>
      <c r="S19" s="98">
        <f t="shared" ref="S19:T19" si="17">SUM(S5:S18)</f>
        <v>2898.7577184932434</v>
      </c>
      <c r="T19" s="98">
        <f t="shared" si="17"/>
        <v>2496.6428180407938</v>
      </c>
    </row>
    <row r="22" spans="2:38" x14ac:dyDescent="0.35">
      <c r="B22" s="187" t="s">
        <v>170</v>
      </c>
      <c r="C22" s="152" t="s">
        <v>31</v>
      </c>
      <c r="D22" s="162"/>
      <c r="E22" s="162"/>
      <c r="F22" s="162"/>
      <c r="G22" s="162"/>
      <c r="H22" s="153"/>
      <c r="I22" s="152" t="s">
        <v>32</v>
      </c>
      <c r="J22" s="162"/>
      <c r="K22" s="162"/>
      <c r="L22" s="162"/>
      <c r="M22" s="162"/>
      <c r="N22" s="153"/>
      <c r="O22" s="152" t="s">
        <v>33</v>
      </c>
      <c r="P22" s="162"/>
      <c r="Q22" s="162"/>
      <c r="R22" s="162"/>
      <c r="S22" s="162"/>
      <c r="T22" s="153"/>
      <c r="U22" s="152" t="s">
        <v>34</v>
      </c>
      <c r="V22" s="162"/>
      <c r="W22" s="162"/>
      <c r="X22" s="162"/>
      <c r="Y22" s="162"/>
      <c r="Z22" s="153"/>
      <c r="AA22" s="152" t="s">
        <v>35</v>
      </c>
      <c r="AB22" s="162"/>
      <c r="AC22" s="162"/>
      <c r="AD22" s="162"/>
      <c r="AE22" s="162"/>
      <c r="AF22" s="153"/>
      <c r="AG22" s="152" t="s">
        <v>127</v>
      </c>
      <c r="AH22" s="162"/>
      <c r="AI22" s="162"/>
      <c r="AJ22" s="162"/>
      <c r="AK22" s="162"/>
      <c r="AL22" s="153"/>
    </row>
    <row r="23" spans="2:38" x14ac:dyDescent="0.35">
      <c r="B23" s="187"/>
      <c r="C23" s="152" t="s">
        <v>131</v>
      </c>
      <c r="D23" s="162"/>
      <c r="E23" s="153"/>
      <c r="F23" s="152" t="s">
        <v>132</v>
      </c>
      <c r="G23" s="162"/>
      <c r="H23" s="153"/>
      <c r="I23" s="152" t="s">
        <v>131</v>
      </c>
      <c r="J23" s="162"/>
      <c r="K23" s="153"/>
      <c r="L23" s="152" t="s">
        <v>132</v>
      </c>
      <c r="M23" s="162"/>
      <c r="N23" s="153"/>
      <c r="O23" s="152" t="s">
        <v>131</v>
      </c>
      <c r="P23" s="162"/>
      <c r="Q23" s="153"/>
      <c r="R23" s="152" t="s">
        <v>132</v>
      </c>
      <c r="S23" s="162"/>
      <c r="T23" s="153"/>
      <c r="U23" s="152" t="s">
        <v>131</v>
      </c>
      <c r="V23" s="162"/>
      <c r="W23" s="153"/>
      <c r="X23" s="152" t="s">
        <v>132</v>
      </c>
      <c r="Y23" s="162"/>
      <c r="Z23" s="153"/>
      <c r="AA23" s="152" t="s">
        <v>131</v>
      </c>
      <c r="AB23" s="162"/>
      <c r="AC23" s="153"/>
      <c r="AD23" s="152" t="s">
        <v>132</v>
      </c>
      <c r="AE23" s="162"/>
      <c r="AF23" s="153"/>
      <c r="AG23" s="152" t="s">
        <v>131</v>
      </c>
      <c r="AH23" s="162"/>
      <c r="AI23" s="153"/>
      <c r="AJ23" s="152" t="s">
        <v>132</v>
      </c>
      <c r="AK23" s="162"/>
      <c r="AL23" s="153"/>
    </row>
    <row r="24" spans="2:38" x14ac:dyDescent="0.35">
      <c r="B24" s="187"/>
      <c r="C24" s="96" t="s">
        <v>228</v>
      </c>
      <c r="D24" s="96" t="s">
        <v>229</v>
      </c>
      <c r="E24" s="96" t="s">
        <v>27</v>
      </c>
      <c r="F24" s="96" t="s">
        <v>228</v>
      </c>
      <c r="G24" s="96" t="s">
        <v>229</v>
      </c>
      <c r="H24" s="96" t="s">
        <v>27</v>
      </c>
      <c r="I24" s="96" t="s">
        <v>228</v>
      </c>
      <c r="J24" s="96" t="s">
        <v>229</v>
      </c>
      <c r="K24" s="96" t="s">
        <v>27</v>
      </c>
      <c r="L24" s="96" t="s">
        <v>228</v>
      </c>
      <c r="M24" s="96" t="s">
        <v>229</v>
      </c>
      <c r="N24" s="96" t="s">
        <v>27</v>
      </c>
      <c r="O24" s="96" t="s">
        <v>228</v>
      </c>
      <c r="P24" s="96" t="s">
        <v>229</v>
      </c>
      <c r="Q24" s="96" t="s">
        <v>27</v>
      </c>
      <c r="R24" s="96" t="s">
        <v>228</v>
      </c>
      <c r="S24" s="96" t="s">
        <v>229</v>
      </c>
      <c r="T24" s="96" t="s">
        <v>27</v>
      </c>
      <c r="U24" s="96" t="s">
        <v>228</v>
      </c>
      <c r="V24" s="96" t="s">
        <v>229</v>
      </c>
      <c r="W24" s="96" t="s">
        <v>27</v>
      </c>
      <c r="X24" s="96" t="s">
        <v>228</v>
      </c>
      <c r="Y24" s="96" t="s">
        <v>229</v>
      </c>
      <c r="Z24" s="96" t="s">
        <v>27</v>
      </c>
      <c r="AA24" s="96" t="s">
        <v>228</v>
      </c>
      <c r="AB24" s="96" t="s">
        <v>229</v>
      </c>
      <c r="AC24" s="96" t="s">
        <v>27</v>
      </c>
      <c r="AD24" s="96" t="s">
        <v>228</v>
      </c>
      <c r="AE24" s="96" t="s">
        <v>229</v>
      </c>
      <c r="AF24" s="96" t="s">
        <v>27</v>
      </c>
      <c r="AG24" s="96" t="s">
        <v>228</v>
      </c>
      <c r="AH24" s="96" t="s">
        <v>229</v>
      </c>
      <c r="AI24" s="96" t="s">
        <v>27</v>
      </c>
      <c r="AJ24" s="96" t="s">
        <v>228</v>
      </c>
      <c r="AK24" s="96" t="s">
        <v>229</v>
      </c>
      <c r="AL24" s="96" t="s">
        <v>27</v>
      </c>
    </row>
    <row r="25" spans="2:38" x14ac:dyDescent="0.35">
      <c r="B25" s="7" t="s">
        <v>43</v>
      </c>
      <c r="C25" s="9">
        <v>9.495916584909196</v>
      </c>
      <c r="D25" s="9">
        <v>0.32352941713243039</v>
      </c>
      <c r="E25" s="13">
        <f>SUM(C25:D25)</f>
        <v>9.8194460020416265</v>
      </c>
      <c r="F25" s="9">
        <f>MIN(Depreciation!K23,C25)</f>
        <v>9.495916584909196</v>
      </c>
      <c r="G25" s="9">
        <f>D25</f>
        <v>0.32352941713243039</v>
      </c>
      <c r="H25" s="13">
        <f>SUM(F25:G25)</f>
        <v>9.8194460020416265</v>
      </c>
      <c r="I25" s="9">
        <v>10.619280478829815</v>
      </c>
      <c r="J25" s="9">
        <v>0.30134644008655082</v>
      </c>
      <c r="K25" s="13">
        <f>SUM(I25:J25)</f>
        <v>10.920626918916366</v>
      </c>
      <c r="L25" s="9">
        <f>Depreciation!S23</f>
        <v>8.6308075661904162</v>
      </c>
      <c r="M25" s="9">
        <f>J25</f>
        <v>0.30134644008655082</v>
      </c>
      <c r="N25" s="13">
        <f>SUM(L25:M25)</f>
        <v>8.9321540062769671</v>
      </c>
      <c r="O25" s="9">
        <v>10.788184721654279</v>
      </c>
      <c r="P25" s="9">
        <v>0.30396194855796438</v>
      </c>
      <c r="Q25" s="13">
        <f>SUM(O25:P25)</f>
        <v>11.092146670212243</v>
      </c>
      <c r="R25" s="9">
        <f>Depreciation!AA23</f>
        <v>8.7992651782482092</v>
      </c>
      <c r="S25" s="9">
        <f>P25</f>
        <v>0.30396194855796438</v>
      </c>
      <c r="T25" s="13">
        <f>SUM(R25:S25)</f>
        <v>9.1032271268061731</v>
      </c>
      <c r="U25" s="9">
        <v>10.942850989802791</v>
      </c>
      <c r="V25" s="9">
        <f>P25</f>
        <v>0.30396194855796438</v>
      </c>
      <c r="W25" s="13">
        <f>SUM(U25:V25)</f>
        <v>11.246812938360755</v>
      </c>
      <c r="X25" s="9">
        <f>Depreciation!AI23</f>
        <v>8.9107337894947563</v>
      </c>
      <c r="Y25" s="9">
        <f>V25</f>
        <v>0.30396194855796438</v>
      </c>
      <c r="Z25" s="13">
        <f>SUM(X25:Y25)</f>
        <v>9.2146957380527201</v>
      </c>
      <c r="AA25" s="9">
        <v>21.54157594853438</v>
      </c>
      <c r="AB25" s="9">
        <v>0.2989396107668178</v>
      </c>
      <c r="AC25" s="13">
        <f>SUM(AA25:AB25)</f>
        <v>21.840515559301199</v>
      </c>
      <c r="AD25" s="9">
        <f>Depreciation!AQ23</f>
        <v>18.943083996966397</v>
      </c>
      <c r="AE25" s="9">
        <f>AB25</f>
        <v>0.2989396107668178</v>
      </c>
      <c r="AF25" s="13">
        <f>SUM(AD25:AE25)</f>
        <v>19.242023607733216</v>
      </c>
      <c r="AG25" s="9">
        <v>21.541575948534376</v>
      </c>
      <c r="AH25" s="9">
        <f>AB25</f>
        <v>0.2989396107668178</v>
      </c>
      <c r="AI25" s="13">
        <f>SUM(AG25:AH25)</f>
        <v>21.840515559301195</v>
      </c>
      <c r="AJ25" s="9">
        <f>Depreciation!AY23</f>
        <v>18.943083996966401</v>
      </c>
      <c r="AK25" s="9">
        <f>AH25</f>
        <v>0.2989396107668178</v>
      </c>
      <c r="AL25" s="13">
        <f>SUM(AJ25:AK25)</f>
        <v>19.24202360773322</v>
      </c>
    </row>
    <row r="26" spans="2:38" x14ac:dyDescent="0.35">
      <c r="B26" s="7" t="s">
        <v>150</v>
      </c>
      <c r="C26" s="9">
        <v>26.097988784706597</v>
      </c>
      <c r="D26" s="9">
        <v>2.6356871805494477</v>
      </c>
      <c r="E26" s="13">
        <f t="shared" ref="E26:E39" si="18">SUM(C26:D26)</f>
        <v>28.733675965256044</v>
      </c>
      <c r="F26" s="9">
        <f>MIN(Depreciation!K42,C26)</f>
        <v>26.083379828640862</v>
      </c>
      <c r="G26" s="9">
        <f t="shared" ref="G26:G38" si="19">D26</f>
        <v>2.6356871805494477</v>
      </c>
      <c r="H26" s="13">
        <f t="shared" ref="H26:H39" si="20">SUM(F26:G26)</f>
        <v>28.719067009190308</v>
      </c>
      <c r="I26" s="9">
        <v>31.383275990113983</v>
      </c>
      <c r="J26" s="9">
        <v>2.4938846380904693</v>
      </c>
      <c r="K26" s="13">
        <f t="shared" ref="K26:K39" si="21">SUM(I26:J26)</f>
        <v>33.87716062820445</v>
      </c>
      <c r="L26" s="9">
        <f>Depreciation!S42</f>
        <v>31.365484138435569</v>
      </c>
      <c r="M26" s="9">
        <f t="shared" ref="M26:M38" si="22">J26</f>
        <v>2.4938846380904693</v>
      </c>
      <c r="N26" s="13">
        <f t="shared" ref="N26:N39" si="23">SUM(L26:M26)</f>
        <v>33.85936877652604</v>
      </c>
      <c r="O26" s="9">
        <v>68.444944787981768</v>
      </c>
      <c r="P26" s="9">
        <v>2.5213134566831141</v>
      </c>
      <c r="Q26" s="13">
        <f t="shared" ref="Q26:Q39" si="24">SUM(O26:P26)</f>
        <v>70.966258244664886</v>
      </c>
      <c r="R26" s="9">
        <f>Depreciation!AA42</f>
        <v>65.34974606574265</v>
      </c>
      <c r="S26" s="9">
        <f t="shared" ref="S26:S38" si="25">P26</f>
        <v>2.5213134566831141</v>
      </c>
      <c r="T26" s="13">
        <f t="shared" ref="T26:T39" si="26">SUM(R26:S26)</f>
        <v>67.871059522425767</v>
      </c>
      <c r="U26" s="9">
        <v>91.435086088631635</v>
      </c>
      <c r="V26" s="9">
        <f t="shared" ref="V26:V38" si="27">P26</f>
        <v>2.5213134566831141</v>
      </c>
      <c r="W26" s="13">
        <f t="shared" ref="W26:W39" si="28">SUM(U26:V26)</f>
        <v>93.956399545314753</v>
      </c>
      <c r="X26" s="9">
        <f>Depreciation!AI42</f>
        <v>86.59252992532997</v>
      </c>
      <c r="Y26" s="9">
        <f t="shared" ref="Y26:Y38" si="29">V26</f>
        <v>2.5213134566831141</v>
      </c>
      <c r="Z26" s="13">
        <f t="shared" ref="Z26:Z39" si="30">SUM(X26:Y26)</f>
        <v>89.113843382013087</v>
      </c>
      <c r="AA26" s="9">
        <v>141.95470500617563</v>
      </c>
      <c r="AB26" s="9">
        <v>2.7237155149089252</v>
      </c>
      <c r="AC26" s="13">
        <f t="shared" ref="AC26:AC39" si="31">SUM(AA26:AB26)</f>
        <v>144.67842052108455</v>
      </c>
      <c r="AD26" s="9">
        <f>Depreciation!AQ42</f>
        <v>104.70471421023771</v>
      </c>
      <c r="AE26" s="9">
        <f t="shared" ref="AE26:AE38" si="32">AB26</f>
        <v>2.7237155149089252</v>
      </c>
      <c r="AF26" s="13">
        <f t="shared" ref="AF26:AF39" si="33">SUM(AD26:AE26)</f>
        <v>107.42842972514664</v>
      </c>
      <c r="AG26" s="9">
        <v>250.04656560993391</v>
      </c>
      <c r="AH26" s="9">
        <f t="shared" ref="AH26:AH38" si="34">AB26</f>
        <v>2.7237155149089252</v>
      </c>
      <c r="AI26" s="13">
        <f t="shared" ref="AI26:AI39" si="35">SUM(AG26:AH26)</f>
        <v>252.77028112484282</v>
      </c>
      <c r="AJ26" s="9">
        <f>Depreciation!AY42</f>
        <v>212.7675881017384</v>
      </c>
      <c r="AK26" s="9">
        <f t="shared" ref="AK26:AK38" si="36">AH26</f>
        <v>2.7237155149089252</v>
      </c>
      <c r="AL26" s="13">
        <f t="shared" ref="AL26:AL39" si="37">SUM(AJ26:AK26)</f>
        <v>215.49130361664731</v>
      </c>
    </row>
    <row r="27" spans="2:38" x14ac:dyDescent="0.35">
      <c r="B27" s="7" t="s">
        <v>151</v>
      </c>
      <c r="C27" s="9">
        <v>19.177388431237922</v>
      </c>
      <c r="D27" s="9">
        <v>1.8173846059908962</v>
      </c>
      <c r="E27" s="13">
        <f t="shared" si="18"/>
        <v>20.994773037228818</v>
      </c>
      <c r="F27" s="9">
        <f>MIN(Depreciation!K61,C27)</f>
        <v>19.177388431237922</v>
      </c>
      <c r="G27" s="9">
        <f t="shared" si="19"/>
        <v>1.8173846059908962</v>
      </c>
      <c r="H27" s="13">
        <f t="shared" si="20"/>
        <v>20.994773037228818</v>
      </c>
      <c r="I27" s="9">
        <v>20.125799034556714</v>
      </c>
      <c r="J27" s="9">
        <v>1.7027660996388028</v>
      </c>
      <c r="K27" s="13">
        <f t="shared" si="21"/>
        <v>21.828565134195518</v>
      </c>
      <c r="L27" s="9">
        <f>Depreciation!S61</f>
        <v>20.117151015606417</v>
      </c>
      <c r="M27" s="9">
        <f t="shared" si="22"/>
        <v>1.7027660996388028</v>
      </c>
      <c r="N27" s="13">
        <f t="shared" si="23"/>
        <v>21.819917115245222</v>
      </c>
      <c r="O27" s="9">
        <v>22.083481950979017</v>
      </c>
      <c r="P27" s="9">
        <v>1.7016678081447143</v>
      </c>
      <c r="Q27" s="13">
        <f t="shared" si="24"/>
        <v>23.785149759123733</v>
      </c>
      <c r="R27" s="9">
        <f>Depreciation!AA61</f>
        <v>21.943518951875795</v>
      </c>
      <c r="S27" s="9">
        <f t="shared" si="25"/>
        <v>1.7016678081447143</v>
      </c>
      <c r="T27" s="13">
        <f t="shared" si="26"/>
        <v>23.645186760020508</v>
      </c>
      <c r="U27" s="9">
        <v>25.243286030606054</v>
      </c>
      <c r="V27" s="9">
        <f t="shared" si="27"/>
        <v>1.7016678081447143</v>
      </c>
      <c r="W27" s="13">
        <f t="shared" si="28"/>
        <v>26.94495383875077</v>
      </c>
      <c r="X27" s="9">
        <f>Depreciation!AI61</f>
        <v>24.227348786955513</v>
      </c>
      <c r="Y27" s="9">
        <f t="shared" si="29"/>
        <v>1.7016678081447143</v>
      </c>
      <c r="Z27" s="13">
        <f t="shared" si="30"/>
        <v>25.929016595100229</v>
      </c>
      <c r="AA27" s="9">
        <v>133.38268056429411</v>
      </c>
      <c r="AB27" s="9">
        <v>1.6792430554929909</v>
      </c>
      <c r="AC27" s="13">
        <f t="shared" si="31"/>
        <v>135.06192361978711</v>
      </c>
      <c r="AD27" s="9">
        <f>Depreciation!AQ61</f>
        <v>56.121736667022574</v>
      </c>
      <c r="AE27" s="9">
        <f t="shared" si="32"/>
        <v>1.6792430554929909</v>
      </c>
      <c r="AF27" s="13">
        <f t="shared" si="33"/>
        <v>57.800979722515564</v>
      </c>
      <c r="AG27" s="9">
        <v>159.72643096741822</v>
      </c>
      <c r="AH27" s="9">
        <f t="shared" si="34"/>
        <v>1.6792430554929909</v>
      </c>
      <c r="AI27" s="13">
        <f t="shared" si="35"/>
        <v>161.40567402291123</v>
      </c>
      <c r="AJ27" s="9">
        <f>Depreciation!AY61</f>
        <v>64.223699088632159</v>
      </c>
      <c r="AK27" s="9">
        <f t="shared" si="36"/>
        <v>1.6792430554929909</v>
      </c>
      <c r="AL27" s="13">
        <f t="shared" si="37"/>
        <v>65.902942144125149</v>
      </c>
    </row>
    <row r="28" spans="2:38" x14ac:dyDescent="0.35">
      <c r="B28" s="7" t="s">
        <v>44</v>
      </c>
      <c r="C28" s="9">
        <v>62.484397160975718</v>
      </c>
      <c r="D28" s="9">
        <v>0.88283063825649088</v>
      </c>
      <c r="E28" s="13">
        <f t="shared" si="18"/>
        <v>63.367227799232211</v>
      </c>
      <c r="F28" s="9">
        <f>MIN(Depreciation!K80,C28)</f>
        <v>62.484397160975718</v>
      </c>
      <c r="G28" s="9">
        <f t="shared" si="19"/>
        <v>0.88283063825649088</v>
      </c>
      <c r="H28" s="13">
        <f t="shared" si="20"/>
        <v>63.367227799232211</v>
      </c>
      <c r="I28" s="9">
        <v>67.023490142527791</v>
      </c>
      <c r="J28" s="9">
        <v>0.85049135108227802</v>
      </c>
      <c r="K28" s="13">
        <f t="shared" si="21"/>
        <v>67.873981493610074</v>
      </c>
      <c r="L28" s="9">
        <f>Depreciation!S80</f>
        <v>65.996532459138621</v>
      </c>
      <c r="M28" s="9">
        <f t="shared" si="22"/>
        <v>0.85049135108227802</v>
      </c>
      <c r="N28" s="13">
        <f t="shared" si="23"/>
        <v>66.847023810220904</v>
      </c>
      <c r="O28" s="9">
        <v>34.001760788898821</v>
      </c>
      <c r="P28" s="9">
        <v>0.91980793918428039</v>
      </c>
      <c r="Q28" s="13">
        <f t="shared" si="24"/>
        <v>34.921568728083102</v>
      </c>
      <c r="R28" s="9">
        <f>Depreciation!AA80</f>
        <v>33.620552619293505</v>
      </c>
      <c r="S28" s="9">
        <f t="shared" si="25"/>
        <v>0.91980793918428039</v>
      </c>
      <c r="T28" s="13">
        <f t="shared" si="26"/>
        <v>34.540360558477786</v>
      </c>
      <c r="U28" s="9">
        <v>34.900407990753969</v>
      </c>
      <c r="V28" s="9">
        <f t="shared" si="27"/>
        <v>0.91980793918428039</v>
      </c>
      <c r="W28" s="13">
        <f t="shared" si="28"/>
        <v>35.82021592993825</v>
      </c>
      <c r="X28" s="9">
        <f>Depreciation!AI80</f>
        <v>27.104897160318728</v>
      </c>
      <c r="Y28" s="9">
        <f t="shared" si="29"/>
        <v>0.91980793918428039</v>
      </c>
      <c r="Z28" s="13">
        <f t="shared" si="30"/>
        <v>28.024705099503009</v>
      </c>
      <c r="AA28" s="9">
        <v>66.562579175145032</v>
      </c>
      <c r="AB28" s="9">
        <v>0.82480939320571323</v>
      </c>
      <c r="AC28" s="13">
        <f t="shared" si="31"/>
        <v>67.387388568350744</v>
      </c>
      <c r="AD28" s="9">
        <f>Depreciation!AQ80</f>
        <v>35.762362294689844</v>
      </c>
      <c r="AE28" s="9">
        <f t="shared" si="32"/>
        <v>0.82480939320571323</v>
      </c>
      <c r="AF28" s="13">
        <f t="shared" si="33"/>
        <v>36.587171687895555</v>
      </c>
      <c r="AG28" s="9">
        <v>76.155242961893663</v>
      </c>
      <c r="AH28" s="9">
        <f t="shared" si="34"/>
        <v>0.82480939320571323</v>
      </c>
      <c r="AI28" s="13">
        <f t="shared" si="35"/>
        <v>76.980052355099374</v>
      </c>
      <c r="AJ28" s="9">
        <f>Depreciation!AY80</f>
        <v>35.762362294689844</v>
      </c>
      <c r="AK28" s="9">
        <f t="shared" si="36"/>
        <v>0.82480939320571323</v>
      </c>
      <c r="AL28" s="13">
        <f t="shared" si="37"/>
        <v>36.587171687895555</v>
      </c>
    </row>
    <row r="29" spans="2:38" x14ac:dyDescent="0.35">
      <c r="B29" s="7" t="s">
        <v>152</v>
      </c>
      <c r="C29" s="9">
        <v>14.781716828882006</v>
      </c>
      <c r="D29" s="9">
        <v>0.53600432614697591</v>
      </c>
      <c r="E29" s="13">
        <f t="shared" si="18"/>
        <v>15.317721155028982</v>
      </c>
      <c r="F29" s="9">
        <f>MIN(Depreciation!K99,C29)</f>
        <v>14.781716828882006</v>
      </c>
      <c r="G29" s="9">
        <f t="shared" si="19"/>
        <v>0.53600432614697591</v>
      </c>
      <c r="H29" s="13">
        <f t="shared" si="20"/>
        <v>15.317721155028982</v>
      </c>
      <c r="I29" s="9">
        <v>15.551450272872323</v>
      </c>
      <c r="J29" s="9">
        <v>0.51826246934040976</v>
      </c>
      <c r="K29" s="13">
        <f t="shared" si="21"/>
        <v>16.069712742212733</v>
      </c>
      <c r="L29" s="9">
        <f>Depreciation!S99</f>
        <v>7.2501966287064299</v>
      </c>
      <c r="M29" s="9">
        <f t="shared" si="22"/>
        <v>0.51826246934040976</v>
      </c>
      <c r="N29" s="13">
        <f t="shared" si="23"/>
        <v>7.76845909804684</v>
      </c>
      <c r="O29" s="9">
        <v>16.747270515741278</v>
      </c>
      <c r="P29" s="9">
        <v>0.51925050111160487</v>
      </c>
      <c r="Q29" s="13">
        <f t="shared" si="24"/>
        <v>17.266521016852881</v>
      </c>
      <c r="R29" s="9">
        <f>Depreciation!AA99</f>
        <v>8.2333360017990938</v>
      </c>
      <c r="S29" s="9">
        <f t="shared" si="25"/>
        <v>0.51925050111160487</v>
      </c>
      <c r="T29" s="13">
        <f t="shared" si="26"/>
        <v>8.7525865029106988</v>
      </c>
      <c r="U29" s="9">
        <v>29.32462796257138</v>
      </c>
      <c r="V29" s="9">
        <f t="shared" si="27"/>
        <v>0.51925050111160487</v>
      </c>
      <c r="W29" s="13">
        <f t="shared" si="28"/>
        <v>29.843878463682984</v>
      </c>
      <c r="X29" s="9">
        <f>Depreciation!AI99</f>
        <v>20.250144237617121</v>
      </c>
      <c r="Y29" s="9">
        <f t="shared" si="29"/>
        <v>0.51925050111160487</v>
      </c>
      <c r="Z29" s="13">
        <f t="shared" si="30"/>
        <v>20.769394738728725</v>
      </c>
      <c r="AA29" s="9">
        <v>51.7848605207109</v>
      </c>
      <c r="AB29" s="9">
        <v>0.51530096226284217</v>
      </c>
      <c r="AC29" s="13">
        <f t="shared" si="31"/>
        <v>52.300161482973742</v>
      </c>
      <c r="AD29" s="9">
        <f>Depreciation!AQ99</f>
        <v>33.368038681089324</v>
      </c>
      <c r="AE29" s="9">
        <f t="shared" si="32"/>
        <v>0.51530096226284217</v>
      </c>
      <c r="AF29" s="13">
        <f t="shared" si="33"/>
        <v>33.883339643352166</v>
      </c>
      <c r="AG29" s="9">
        <v>126.71405898148932</v>
      </c>
      <c r="AH29" s="9">
        <f t="shared" si="34"/>
        <v>0.51530096226284217</v>
      </c>
      <c r="AI29" s="13">
        <f t="shared" si="35"/>
        <v>127.22935994375216</v>
      </c>
      <c r="AJ29" s="9">
        <f>Depreciation!AY99</f>
        <v>42.469925473542183</v>
      </c>
      <c r="AK29" s="9">
        <f t="shared" si="36"/>
        <v>0.51530096226284217</v>
      </c>
      <c r="AL29" s="13">
        <f t="shared" si="37"/>
        <v>42.985226435805025</v>
      </c>
    </row>
    <row r="30" spans="2:38" x14ac:dyDescent="0.35">
      <c r="B30" s="7" t="s">
        <v>154</v>
      </c>
      <c r="C30" s="9">
        <v>2.1790226297865223</v>
      </c>
      <c r="D30" s="9">
        <v>1.1972328760810607</v>
      </c>
      <c r="E30" s="13">
        <f t="shared" si="18"/>
        <v>3.3762555058675829</v>
      </c>
      <c r="F30" s="9">
        <f>MIN(Depreciation!K137,C30)</f>
        <v>2.1790226297865223</v>
      </c>
      <c r="G30" s="9">
        <f t="shared" si="19"/>
        <v>1.1972328760810607</v>
      </c>
      <c r="H30" s="13">
        <f t="shared" si="20"/>
        <v>3.3762555058675829</v>
      </c>
      <c r="I30" s="9">
        <v>3.0982450033116713</v>
      </c>
      <c r="J30" s="9">
        <v>1.116696890686437</v>
      </c>
      <c r="K30" s="13">
        <f t="shared" si="21"/>
        <v>4.214941893998108</v>
      </c>
      <c r="L30" s="9">
        <f>Depreciation!S137</f>
        <v>4.0915140240007828</v>
      </c>
      <c r="M30" s="9">
        <f t="shared" si="22"/>
        <v>1.116696890686437</v>
      </c>
      <c r="N30" s="13">
        <f t="shared" si="23"/>
        <v>5.2082109146872195</v>
      </c>
      <c r="O30" s="9">
        <v>3.0353716775902746</v>
      </c>
      <c r="P30" s="9">
        <v>1.1167586652662134</v>
      </c>
      <c r="Q30" s="13">
        <f t="shared" si="24"/>
        <v>4.1521303428564877</v>
      </c>
      <c r="R30" s="9">
        <f>Depreciation!AA137</f>
        <v>4.0809908452187544</v>
      </c>
      <c r="S30" s="9">
        <f t="shared" si="25"/>
        <v>1.1167586652662134</v>
      </c>
      <c r="T30" s="13">
        <f t="shared" si="26"/>
        <v>5.197749510484968</v>
      </c>
      <c r="U30" s="9">
        <v>7.8895510809059193</v>
      </c>
      <c r="V30" s="9">
        <f t="shared" si="27"/>
        <v>1.1167586652662134</v>
      </c>
      <c r="W30" s="13">
        <f t="shared" si="28"/>
        <v>9.006309746172132</v>
      </c>
      <c r="X30" s="9">
        <f>Depreciation!AI137</f>
        <v>14.445990845218727</v>
      </c>
      <c r="Y30" s="9">
        <f t="shared" si="29"/>
        <v>1.1167586652662134</v>
      </c>
      <c r="Z30" s="13">
        <f t="shared" si="30"/>
        <v>15.56274951048494</v>
      </c>
      <c r="AA30" s="9">
        <v>27.014271577800336</v>
      </c>
      <c r="AB30" s="9">
        <v>1.09451317658612</v>
      </c>
      <c r="AC30" s="13">
        <f t="shared" si="31"/>
        <v>28.108784754386456</v>
      </c>
      <c r="AD30" s="9">
        <f>Depreciation!AQ137</f>
        <v>65.76849084521875</v>
      </c>
      <c r="AE30" s="9">
        <f t="shared" si="32"/>
        <v>1.09451317658612</v>
      </c>
      <c r="AF30" s="13">
        <f t="shared" si="33"/>
        <v>66.863004021804869</v>
      </c>
      <c r="AG30" s="9">
        <v>32.305034936578977</v>
      </c>
      <c r="AH30" s="9">
        <f t="shared" si="34"/>
        <v>1.09451317658612</v>
      </c>
      <c r="AI30" s="13">
        <f t="shared" si="35"/>
        <v>33.399548113165096</v>
      </c>
      <c r="AJ30" s="9">
        <f>Depreciation!AY137</f>
        <v>73.418490845218727</v>
      </c>
      <c r="AK30" s="9">
        <f t="shared" si="36"/>
        <v>1.09451317658612</v>
      </c>
      <c r="AL30" s="13">
        <f t="shared" si="37"/>
        <v>74.513004021804846</v>
      </c>
    </row>
    <row r="31" spans="2:38" x14ac:dyDescent="0.35">
      <c r="B31" s="7" t="s">
        <v>223</v>
      </c>
      <c r="C31" s="9">
        <v>159.43245614368965</v>
      </c>
      <c r="D31" s="9">
        <v>2.2650333532011695</v>
      </c>
      <c r="E31" s="13">
        <f t="shared" si="18"/>
        <v>161.69748949689082</v>
      </c>
      <c r="F31" s="9">
        <f>MIN(Depreciation!K156,C31)</f>
        <v>159.40072373589783</v>
      </c>
      <c r="G31" s="9">
        <f t="shared" si="19"/>
        <v>2.2650333532011695</v>
      </c>
      <c r="H31" s="13">
        <f t="shared" si="20"/>
        <v>161.665757089099</v>
      </c>
      <c r="I31" s="9">
        <v>159.74506931110378</v>
      </c>
      <c r="J31" s="9">
        <v>2.117193475383726</v>
      </c>
      <c r="K31" s="13">
        <f t="shared" si="21"/>
        <v>161.86226278648749</v>
      </c>
      <c r="L31" s="9">
        <f>Depreciation!S156</f>
        <v>159.64382724603516</v>
      </c>
      <c r="M31" s="9">
        <f t="shared" si="22"/>
        <v>2.117193475383726</v>
      </c>
      <c r="N31" s="13">
        <f t="shared" si="23"/>
        <v>161.76102072141887</v>
      </c>
      <c r="O31" s="9">
        <v>80.63480840184242</v>
      </c>
      <c r="P31" s="9">
        <v>2.1149014932337447</v>
      </c>
      <c r="Q31" s="13">
        <f t="shared" si="24"/>
        <v>82.749709895076165</v>
      </c>
      <c r="R31" s="9">
        <f>Depreciation!AA156</f>
        <v>80.30094754393987</v>
      </c>
      <c r="S31" s="9">
        <f t="shared" si="25"/>
        <v>2.1149014932337447</v>
      </c>
      <c r="T31" s="13">
        <f t="shared" si="26"/>
        <v>82.415849037173615</v>
      </c>
      <c r="U31" s="9">
        <v>86.844740627250999</v>
      </c>
      <c r="V31" s="9">
        <f t="shared" si="27"/>
        <v>2.1149014932337447</v>
      </c>
      <c r="W31" s="13">
        <f t="shared" si="28"/>
        <v>88.959642120484745</v>
      </c>
      <c r="X31" s="9">
        <f>Depreciation!AI156</f>
        <v>86.502724781901222</v>
      </c>
      <c r="Y31" s="9">
        <f t="shared" si="29"/>
        <v>2.1149014932337447</v>
      </c>
      <c r="Z31" s="13">
        <f t="shared" si="30"/>
        <v>88.617626275134967</v>
      </c>
      <c r="AA31" s="9">
        <v>79.000524873893085</v>
      </c>
      <c r="AB31" s="9">
        <v>0</v>
      </c>
      <c r="AC31" s="13">
        <f t="shared" si="31"/>
        <v>79.000524873893085</v>
      </c>
      <c r="AD31" s="9">
        <f>Depreciation!AQ156</f>
        <v>78.317158478827935</v>
      </c>
      <c r="AE31" s="9">
        <f t="shared" si="32"/>
        <v>0</v>
      </c>
      <c r="AF31" s="13">
        <f t="shared" si="33"/>
        <v>78.317158478827935</v>
      </c>
      <c r="AG31" s="9">
        <v>171.89472403230772</v>
      </c>
      <c r="AH31" s="9">
        <f t="shared" si="34"/>
        <v>0</v>
      </c>
      <c r="AI31" s="13">
        <f t="shared" si="35"/>
        <v>171.89472403230772</v>
      </c>
      <c r="AJ31" s="9">
        <f>Depreciation!AY156</f>
        <v>166.28497194217772</v>
      </c>
      <c r="AK31" s="9">
        <f t="shared" si="36"/>
        <v>0</v>
      </c>
      <c r="AL31" s="13">
        <f t="shared" si="37"/>
        <v>166.28497194217772</v>
      </c>
    </row>
    <row r="32" spans="2:38" x14ac:dyDescent="0.35">
      <c r="B32" s="7" t="s">
        <v>224</v>
      </c>
      <c r="C32" s="9">
        <v>151.35067362228997</v>
      </c>
      <c r="D32" s="9">
        <v>2.066999889387318</v>
      </c>
      <c r="E32" s="13">
        <f t="shared" si="18"/>
        <v>153.41767351167729</v>
      </c>
      <c r="F32" s="9">
        <f>MIN(Depreciation!K175,C32)</f>
        <v>151.35067362228997</v>
      </c>
      <c r="G32" s="9">
        <f t="shared" si="19"/>
        <v>2.066999889387318</v>
      </c>
      <c r="H32" s="13">
        <f t="shared" si="20"/>
        <v>153.41767351167729</v>
      </c>
      <c r="I32" s="9">
        <v>153.80265015336113</v>
      </c>
      <c r="J32" s="9">
        <v>2.4231347335674709</v>
      </c>
      <c r="K32" s="13">
        <f t="shared" si="21"/>
        <v>156.22578488692861</v>
      </c>
      <c r="L32" s="9">
        <f>Depreciation!S175</f>
        <v>153.80161788920071</v>
      </c>
      <c r="M32" s="9">
        <f t="shared" si="22"/>
        <v>2.4231347335674709</v>
      </c>
      <c r="N32" s="13">
        <f t="shared" si="23"/>
        <v>156.22475262276819</v>
      </c>
      <c r="O32" s="9">
        <v>74.772382081736936</v>
      </c>
      <c r="P32" s="9">
        <v>2.4289402689648898</v>
      </c>
      <c r="Q32" s="13">
        <f t="shared" si="24"/>
        <v>77.20132235070183</v>
      </c>
      <c r="R32" s="9">
        <f>Depreciation!AA175</f>
        <v>74.571867634907974</v>
      </c>
      <c r="S32" s="9">
        <f t="shared" si="25"/>
        <v>2.4289402689648898</v>
      </c>
      <c r="T32" s="13">
        <f t="shared" si="26"/>
        <v>77.000807903872868</v>
      </c>
      <c r="U32" s="9">
        <v>78.321735595841787</v>
      </c>
      <c r="V32" s="9">
        <f t="shared" si="27"/>
        <v>2.4289402689648898</v>
      </c>
      <c r="W32" s="13">
        <f t="shared" si="28"/>
        <v>80.750675864806681</v>
      </c>
      <c r="X32" s="9">
        <f>Depreciation!AI175</f>
        <v>77.994798943821053</v>
      </c>
      <c r="Y32" s="9">
        <f t="shared" si="29"/>
        <v>2.4289402689648898</v>
      </c>
      <c r="Z32" s="13">
        <f t="shared" si="30"/>
        <v>80.423739212785947</v>
      </c>
      <c r="AA32" s="9">
        <v>77.195576908045339</v>
      </c>
      <c r="AB32" s="9">
        <v>2.4203613786869189</v>
      </c>
      <c r="AC32" s="13">
        <f t="shared" si="31"/>
        <v>79.615938286732259</v>
      </c>
      <c r="AD32" s="9">
        <f>Depreciation!AQ175</f>
        <v>75.932830685610611</v>
      </c>
      <c r="AE32" s="9">
        <f t="shared" si="32"/>
        <v>2.4203613786869189</v>
      </c>
      <c r="AF32" s="13">
        <f t="shared" si="33"/>
        <v>78.353192064297531</v>
      </c>
      <c r="AG32" s="9">
        <v>182.30601986133718</v>
      </c>
      <c r="AH32" s="9">
        <f t="shared" si="34"/>
        <v>2.4203613786869189</v>
      </c>
      <c r="AI32" s="13">
        <f t="shared" si="35"/>
        <v>184.7263812400241</v>
      </c>
      <c r="AJ32" s="9">
        <f>Depreciation!AY175</f>
        <v>87.59625608770628</v>
      </c>
      <c r="AK32" s="9">
        <f t="shared" si="36"/>
        <v>2.4203613786869189</v>
      </c>
      <c r="AL32" s="13">
        <f t="shared" si="37"/>
        <v>90.0166174663932</v>
      </c>
    </row>
    <row r="33" spans="2:38" x14ac:dyDescent="0.35">
      <c r="B33" s="7" t="s">
        <v>8</v>
      </c>
      <c r="C33" s="9">
        <v>175.03329774944305</v>
      </c>
      <c r="D33" s="9">
        <v>2.4646699514880392</v>
      </c>
      <c r="E33" s="13">
        <f t="shared" si="18"/>
        <v>177.4979677009311</v>
      </c>
      <c r="F33" s="9">
        <f>MIN(Depreciation!K194,C33)</f>
        <v>175.03329774944305</v>
      </c>
      <c r="G33" s="9">
        <f t="shared" si="19"/>
        <v>2.4646699514880392</v>
      </c>
      <c r="H33" s="13">
        <f t="shared" si="20"/>
        <v>177.4979677009311</v>
      </c>
      <c r="I33" s="9">
        <v>177.71788308510924</v>
      </c>
      <c r="J33" s="9">
        <v>2.3024232526487367</v>
      </c>
      <c r="K33" s="13">
        <f t="shared" si="21"/>
        <v>180.02030633775797</v>
      </c>
      <c r="L33" s="9">
        <f>Depreciation!S194</f>
        <v>179.81186517190565</v>
      </c>
      <c r="M33" s="9">
        <f t="shared" si="22"/>
        <v>2.3024232526487367</v>
      </c>
      <c r="N33" s="13">
        <f t="shared" si="23"/>
        <v>182.11428842455439</v>
      </c>
      <c r="O33" s="9">
        <v>179.81542982256286</v>
      </c>
      <c r="P33" s="9">
        <v>2.3033726642437422</v>
      </c>
      <c r="Q33" s="13">
        <f t="shared" si="24"/>
        <v>182.1188024868066</v>
      </c>
      <c r="R33" s="9">
        <f>Depreciation!AA194</f>
        <v>181.90941190939628</v>
      </c>
      <c r="S33" s="9">
        <f t="shared" si="25"/>
        <v>2.3033726642437422</v>
      </c>
      <c r="T33" s="13">
        <f t="shared" si="26"/>
        <v>184.21278457364002</v>
      </c>
      <c r="U33" s="9">
        <v>178.41518455086251</v>
      </c>
      <c r="V33" s="9">
        <f t="shared" si="27"/>
        <v>2.3033726642437422</v>
      </c>
      <c r="W33" s="13">
        <f t="shared" si="28"/>
        <v>180.71855721510624</v>
      </c>
      <c r="X33" s="9">
        <f>Depreciation!AI194</f>
        <v>180.39180281666444</v>
      </c>
      <c r="Y33" s="9">
        <f t="shared" si="29"/>
        <v>2.3033726642437422</v>
      </c>
      <c r="Z33" s="13">
        <f t="shared" si="30"/>
        <v>182.69517548090818</v>
      </c>
      <c r="AA33" s="9">
        <v>187.9624103813843</v>
      </c>
      <c r="AB33" s="9">
        <v>2.3025873557082983</v>
      </c>
      <c r="AC33" s="13">
        <f t="shared" si="31"/>
        <v>190.26499773709261</v>
      </c>
      <c r="AD33" s="9">
        <f>Depreciation!AQ194</f>
        <v>188.00120963360521</v>
      </c>
      <c r="AE33" s="9">
        <f t="shared" si="32"/>
        <v>2.3025873557082983</v>
      </c>
      <c r="AF33" s="13">
        <f t="shared" si="33"/>
        <v>190.30379698931353</v>
      </c>
      <c r="AG33" s="9">
        <v>206.85257310819668</v>
      </c>
      <c r="AH33" s="9">
        <f t="shared" si="34"/>
        <v>2.3025873557082983</v>
      </c>
      <c r="AI33" s="13">
        <f t="shared" si="35"/>
        <v>209.15516046390499</v>
      </c>
      <c r="AJ33" s="9">
        <f>Depreciation!AY194</f>
        <v>201.16921324621197</v>
      </c>
      <c r="AK33" s="9">
        <f t="shared" si="36"/>
        <v>2.3025873557082983</v>
      </c>
      <c r="AL33" s="13">
        <f t="shared" si="37"/>
        <v>203.47180060192028</v>
      </c>
    </row>
    <row r="34" spans="2:38" x14ac:dyDescent="0.35">
      <c r="B34" s="7" t="s">
        <v>225</v>
      </c>
      <c r="C34" s="9">
        <v>337.47722969256915</v>
      </c>
      <c r="D34" s="9">
        <v>4.6371006335595455</v>
      </c>
      <c r="E34" s="13">
        <f t="shared" si="18"/>
        <v>342.11433032612871</v>
      </c>
      <c r="F34" s="9">
        <f>MIN(Depreciation!K213,C34)</f>
        <v>336.78611786706955</v>
      </c>
      <c r="G34" s="9">
        <f t="shared" si="19"/>
        <v>4.6371006335595455</v>
      </c>
      <c r="H34" s="13">
        <f t="shared" si="20"/>
        <v>341.4232185006291</v>
      </c>
      <c r="I34" s="9">
        <v>340.26793013842547</v>
      </c>
      <c r="J34" s="9">
        <v>4.4077070982392907</v>
      </c>
      <c r="K34" s="13">
        <f t="shared" si="21"/>
        <v>344.67563723666478</v>
      </c>
      <c r="L34" s="9">
        <f>Depreciation!S213</f>
        <v>339.17086844234859</v>
      </c>
      <c r="M34" s="9">
        <f t="shared" si="22"/>
        <v>4.4077070982392907</v>
      </c>
      <c r="N34" s="13">
        <f t="shared" si="23"/>
        <v>343.57857554058791</v>
      </c>
      <c r="O34" s="9">
        <v>341.69712591190728</v>
      </c>
      <c r="P34" s="9">
        <v>4.3886183256135798</v>
      </c>
      <c r="Q34" s="13">
        <f t="shared" si="24"/>
        <v>346.08574423752088</v>
      </c>
      <c r="R34" s="9">
        <f>Depreciation!AA213</f>
        <v>340.59986088178732</v>
      </c>
      <c r="S34" s="9">
        <f t="shared" si="25"/>
        <v>4.3886183256135798</v>
      </c>
      <c r="T34" s="13">
        <f t="shared" si="26"/>
        <v>344.98847920740093</v>
      </c>
      <c r="U34" s="9">
        <v>342.86140690960133</v>
      </c>
      <c r="V34" s="9">
        <f t="shared" si="27"/>
        <v>4.3886183256135798</v>
      </c>
      <c r="W34" s="13">
        <f t="shared" si="28"/>
        <v>347.25002523521493</v>
      </c>
      <c r="X34" s="9">
        <f>Depreciation!AI213</f>
        <v>341.77070216178629</v>
      </c>
      <c r="Y34" s="9">
        <f t="shared" si="29"/>
        <v>4.3886183256135798</v>
      </c>
      <c r="Z34" s="13">
        <f t="shared" si="30"/>
        <v>346.1593204873999</v>
      </c>
      <c r="AA34" s="9">
        <v>345.23080690960126</v>
      </c>
      <c r="AB34" s="9">
        <v>4.3228963389439725</v>
      </c>
      <c r="AC34" s="13">
        <f t="shared" si="31"/>
        <v>349.55370324854522</v>
      </c>
      <c r="AD34" s="9">
        <f>Depreciation!AQ213</f>
        <v>342.47716616178627</v>
      </c>
      <c r="AE34" s="9">
        <f t="shared" si="32"/>
        <v>4.3228963389439725</v>
      </c>
      <c r="AF34" s="13">
        <f t="shared" si="33"/>
        <v>346.80006250073023</v>
      </c>
      <c r="AG34" s="9">
        <v>375.04379890960126</v>
      </c>
      <c r="AH34" s="9">
        <f t="shared" si="34"/>
        <v>4.3228963389439725</v>
      </c>
      <c r="AI34" s="13">
        <f t="shared" si="35"/>
        <v>379.36669524854523</v>
      </c>
      <c r="AJ34" s="9">
        <f>Depreciation!AY213</f>
        <v>354.54870803299491</v>
      </c>
      <c r="AK34" s="9">
        <f t="shared" si="36"/>
        <v>4.3228963389439725</v>
      </c>
      <c r="AL34" s="13">
        <f t="shared" si="37"/>
        <v>358.87160437193887</v>
      </c>
    </row>
    <row r="35" spans="2:38" x14ac:dyDescent="0.35">
      <c r="B35" s="7" t="s">
        <v>226</v>
      </c>
      <c r="C35" s="9">
        <v>660.45722806746414</v>
      </c>
      <c r="D35" s="9">
        <v>8.8507715958768856</v>
      </c>
      <c r="E35" s="13">
        <f t="shared" si="18"/>
        <v>669.30799966334098</v>
      </c>
      <c r="F35" s="9">
        <f>MIN(Depreciation!K232,C35)</f>
        <v>653.38591331472514</v>
      </c>
      <c r="G35" s="9">
        <f t="shared" si="19"/>
        <v>8.8507715958768856</v>
      </c>
      <c r="H35" s="13">
        <f t="shared" si="20"/>
        <v>662.23668491060198</v>
      </c>
      <c r="I35" s="9">
        <v>670.54625511240852</v>
      </c>
      <c r="J35" s="9">
        <v>8.3963709072551378</v>
      </c>
      <c r="K35" s="13">
        <f t="shared" si="21"/>
        <v>678.94262601966363</v>
      </c>
      <c r="L35" s="9">
        <f>Depreciation!S232</f>
        <v>663.47516692293902</v>
      </c>
      <c r="M35" s="9">
        <f t="shared" si="22"/>
        <v>8.3963709072551378</v>
      </c>
      <c r="N35" s="13">
        <f t="shared" si="23"/>
        <v>671.87153783019414</v>
      </c>
      <c r="O35" s="9">
        <v>681.62931525576539</v>
      </c>
      <c r="P35" s="9">
        <v>8.4935031771406742</v>
      </c>
      <c r="Q35" s="13">
        <f t="shared" si="24"/>
        <v>690.12281843290612</v>
      </c>
      <c r="R35" s="9">
        <f>Depreciation!AA232</f>
        <v>674.55818643184034</v>
      </c>
      <c r="S35" s="9">
        <f t="shared" si="25"/>
        <v>8.4935031771406742</v>
      </c>
      <c r="T35" s="13">
        <f t="shared" si="26"/>
        <v>683.05168960898106</v>
      </c>
      <c r="U35" s="9">
        <v>697.22860018105825</v>
      </c>
      <c r="V35" s="9">
        <f t="shared" si="27"/>
        <v>8.4935031771406742</v>
      </c>
      <c r="W35" s="13">
        <f t="shared" si="28"/>
        <v>705.72210335819898</v>
      </c>
      <c r="X35" s="9">
        <f>Depreciation!AI232</f>
        <v>689.01967483111218</v>
      </c>
      <c r="Y35" s="9">
        <f t="shared" si="29"/>
        <v>8.4935031771406742</v>
      </c>
      <c r="Z35" s="13">
        <f t="shared" si="30"/>
        <v>697.51317800825291</v>
      </c>
      <c r="AA35" s="9">
        <v>711.07873889245832</v>
      </c>
      <c r="AB35" s="9">
        <v>8.4809016443776795</v>
      </c>
      <c r="AC35" s="13">
        <f t="shared" si="31"/>
        <v>719.55964053683601</v>
      </c>
      <c r="AD35" s="9">
        <f>Depreciation!AQ232</f>
        <v>698.14896343556643</v>
      </c>
      <c r="AE35" s="9">
        <f t="shared" si="32"/>
        <v>8.4809016443776795</v>
      </c>
      <c r="AF35" s="13">
        <f t="shared" si="33"/>
        <v>706.62986507994412</v>
      </c>
      <c r="AG35" s="9">
        <v>771.46741889245834</v>
      </c>
      <c r="AH35" s="9">
        <f t="shared" si="34"/>
        <v>8.4809016443776795</v>
      </c>
      <c r="AI35" s="13">
        <f t="shared" si="35"/>
        <v>779.94832053683604</v>
      </c>
      <c r="AJ35" s="9">
        <f>Depreciation!AY232</f>
        <v>725.56773943556652</v>
      </c>
      <c r="AK35" s="9">
        <f t="shared" si="36"/>
        <v>8.4809016443776795</v>
      </c>
      <c r="AL35" s="13">
        <f t="shared" si="37"/>
        <v>734.04864107994422</v>
      </c>
    </row>
    <row r="36" spans="2:38" x14ac:dyDescent="0.35">
      <c r="B36" s="7" t="s">
        <v>227</v>
      </c>
      <c r="C36" s="9">
        <v>316.94030329958622</v>
      </c>
      <c r="D36" s="9">
        <v>4.2468124192697525</v>
      </c>
      <c r="E36" s="13">
        <f t="shared" si="18"/>
        <v>321.18711571885598</v>
      </c>
      <c r="F36" s="9">
        <f>MIN(Depreciation!K251,C36)</f>
        <v>316.94030329958622</v>
      </c>
      <c r="G36" s="9">
        <f t="shared" si="19"/>
        <v>4.2468124192697525</v>
      </c>
      <c r="H36" s="13">
        <f t="shared" si="20"/>
        <v>321.18711571885598</v>
      </c>
      <c r="I36" s="9">
        <v>318.7770858993398</v>
      </c>
      <c r="J36" s="9">
        <v>3.9656660950721907</v>
      </c>
      <c r="K36" s="13">
        <f t="shared" si="21"/>
        <v>322.742751994412</v>
      </c>
      <c r="L36" s="9">
        <f>Depreciation!S251</f>
        <v>318.77698578524502</v>
      </c>
      <c r="M36" s="9">
        <f t="shared" si="22"/>
        <v>3.9656660950721907</v>
      </c>
      <c r="N36" s="13">
        <f t="shared" si="23"/>
        <v>322.74265188031723</v>
      </c>
      <c r="O36" s="9">
        <v>326.35075934230599</v>
      </c>
      <c r="P36" s="9">
        <v>3.9932480777987807</v>
      </c>
      <c r="Q36" s="13">
        <f t="shared" si="24"/>
        <v>330.34400742010479</v>
      </c>
      <c r="R36" s="9">
        <f>Depreciation!AA251</f>
        <v>326.35057243001796</v>
      </c>
      <c r="S36" s="9">
        <f t="shared" si="25"/>
        <v>3.9932480777987807</v>
      </c>
      <c r="T36" s="13">
        <f t="shared" si="26"/>
        <v>330.34382050781676</v>
      </c>
      <c r="U36" s="9">
        <v>336.45895051112183</v>
      </c>
      <c r="V36" s="9">
        <f t="shared" si="27"/>
        <v>3.9932480777987807</v>
      </c>
      <c r="W36" s="13">
        <f t="shared" si="28"/>
        <v>340.45219858892062</v>
      </c>
      <c r="X36" s="9">
        <f>Depreciation!AI251</f>
        <v>336.45879953668384</v>
      </c>
      <c r="Y36" s="9">
        <f t="shared" si="29"/>
        <v>3.9932480777987807</v>
      </c>
      <c r="Z36" s="13">
        <f t="shared" si="30"/>
        <v>340.45204761448264</v>
      </c>
      <c r="AA36" s="9">
        <v>349.19959051112187</v>
      </c>
      <c r="AB36" s="9">
        <v>4.0583856630081643</v>
      </c>
      <c r="AC36" s="13">
        <f t="shared" si="31"/>
        <v>353.25797617413002</v>
      </c>
      <c r="AD36" s="9">
        <f>Depreciation!AQ251</f>
        <v>348.60728753668383</v>
      </c>
      <c r="AE36" s="9">
        <f t="shared" si="32"/>
        <v>4.0583856630081643</v>
      </c>
      <c r="AF36" s="13">
        <f t="shared" si="33"/>
        <v>352.66567319969198</v>
      </c>
      <c r="AG36" s="9">
        <v>366.81921451112186</v>
      </c>
      <c r="AH36" s="9">
        <f t="shared" si="34"/>
        <v>4.0583856630081643</v>
      </c>
      <c r="AI36" s="13">
        <f t="shared" si="35"/>
        <v>370.87760017413001</v>
      </c>
      <c r="AJ36" s="9">
        <f>Depreciation!AY251</f>
        <v>362.3886155366838</v>
      </c>
      <c r="AK36" s="9">
        <f t="shared" si="36"/>
        <v>4.0583856630081643</v>
      </c>
      <c r="AL36" s="13">
        <f t="shared" si="37"/>
        <v>366.44700119969195</v>
      </c>
    </row>
    <row r="37" spans="2:38" x14ac:dyDescent="0.35">
      <c r="B37" s="7" t="s">
        <v>160</v>
      </c>
      <c r="C37" s="9">
        <v>92.192808680326408</v>
      </c>
      <c r="D37" s="9">
        <v>1.2841394430281947</v>
      </c>
      <c r="E37" s="13">
        <f t="shared" si="18"/>
        <v>93.476948123354603</v>
      </c>
      <c r="F37" s="9">
        <f>MIN(Depreciation!K270,C37)</f>
        <v>92.191485056104781</v>
      </c>
      <c r="G37" s="9">
        <f t="shared" si="19"/>
        <v>1.2841394430281947</v>
      </c>
      <c r="H37" s="13">
        <f t="shared" si="20"/>
        <v>93.475624499132977</v>
      </c>
      <c r="I37" s="9">
        <v>92.677694478308126</v>
      </c>
      <c r="J37" s="9">
        <v>1.2030928935849627</v>
      </c>
      <c r="K37" s="13">
        <f t="shared" si="21"/>
        <v>93.880787371893092</v>
      </c>
      <c r="L37" s="9">
        <f>Depreciation!S270</f>
        <v>92.675192474487147</v>
      </c>
      <c r="M37" s="9">
        <f t="shared" si="22"/>
        <v>1.2030928935849627</v>
      </c>
      <c r="N37" s="13">
        <f t="shared" si="23"/>
        <v>93.878285368072113</v>
      </c>
      <c r="O37" s="9">
        <v>93.626409461481558</v>
      </c>
      <c r="P37" s="9">
        <v>1.2064429922167272</v>
      </c>
      <c r="Q37" s="13">
        <f t="shared" si="24"/>
        <v>94.83285245369828</v>
      </c>
      <c r="R37" s="9">
        <f>Depreciation!AA270</f>
        <v>93.623842335368636</v>
      </c>
      <c r="S37" s="9">
        <f t="shared" si="25"/>
        <v>1.2064429922167272</v>
      </c>
      <c r="T37" s="13">
        <f t="shared" si="26"/>
        <v>94.830285327585358</v>
      </c>
      <c r="U37" s="9">
        <v>97.022385822096808</v>
      </c>
      <c r="V37" s="9">
        <f t="shared" si="27"/>
        <v>1.2064429922167272</v>
      </c>
      <c r="W37" s="13">
        <f t="shared" si="28"/>
        <v>98.22882881431353</v>
      </c>
      <c r="X37" s="9">
        <f>Depreciation!AI270</f>
        <v>97.019041678994213</v>
      </c>
      <c r="Y37" s="9">
        <f t="shared" si="29"/>
        <v>1.2064429922167272</v>
      </c>
      <c r="Z37" s="13">
        <f t="shared" si="30"/>
        <v>98.225484671210936</v>
      </c>
      <c r="AA37" s="9">
        <v>99.95938582209682</v>
      </c>
      <c r="AB37" s="9">
        <v>1.1986387425584371</v>
      </c>
      <c r="AC37" s="13">
        <f t="shared" si="31"/>
        <v>101.15802456465526</v>
      </c>
      <c r="AD37" s="9">
        <f>Depreciation!AQ270</f>
        <v>99.955388413634211</v>
      </c>
      <c r="AE37" s="9">
        <f t="shared" si="32"/>
        <v>1.1986387425584371</v>
      </c>
      <c r="AF37" s="13">
        <f t="shared" si="33"/>
        <v>101.15402715619265</v>
      </c>
      <c r="AG37" s="9">
        <v>106.03032982209682</v>
      </c>
      <c r="AH37" s="9">
        <f t="shared" si="34"/>
        <v>1.1986387425584371</v>
      </c>
      <c r="AI37" s="13">
        <f t="shared" si="35"/>
        <v>107.22896856465526</v>
      </c>
      <c r="AJ37" s="9">
        <f>Depreciation!AY270</f>
        <v>102.5111724136342</v>
      </c>
      <c r="AK37" s="9">
        <f t="shared" si="36"/>
        <v>1.1986387425584371</v>
      </c>
      <c r="AL37" s="13">
        <f t="shared" si="37"/>
        <v>103.70981115619264</v>
      </c>
    </row>
    <row r="38" spans="2:38" x14ac:dyDescent="0.35">
      <c r="B38" s="7" t="s">
        <v>161</v>
      </c>
      <c r="C38" s="9">
        <v>31.085554187402913</v>
      </c>
      <c r="D38" s="9">
        <v>0.18410777518268942</v>
      </c>
      <c r="E38" s="13">
        <f t="shared" si="18"/>
        <v>31.269661962585602</v>
      </c>
      <c r="F38" s="9">
        <f>MIN(Depreciation!K289,C38)</f>
        <v>31.085554187402913</v>
      </c>
      <c r="G38" s="9">
        <f t="shared" si="19"/>
        <v>0.18410777518268942</v>
      </c>
      <c r="H38" s="13">
        <f t="shared" si="20"/>
        <v>31.269661962585602</v>
      </c>
      <c r="I38" s="9">
        <v>33.421781656999613</v>
      </c>
      <c r="J38" s="9">
        <v>0.17981979732353295</v>
      </c>
      <c r="K38" s="13">
        <f t="shared" si="21"/>
        <v>33.601601454323145</v>
      </c>
      <c r="L38" s="9">
        <f>Depreciation!S289</f>
        <v>34.922101574205442</v>
      </c>
      <c r="M38" s="9">
        <f t="shared" si="22"/>
        <v>0.17981979732353295</v>
      </c>
      <c r="N38" s="13">
        <f t="shared" si="23"/>
        <v>35.101921371528974</v>
      </c>
      <c r="O38" s="9">
        <v>33.849389121041526</v>
      </c>
      <c r="P38" s="9">
        <v>0.19</v>
      </c>
      <c r="Q38" s="13">
        <f t="shared" si="24"/>
        <v>34.039389121041523</v>
      </c>
      <c r="R38" s="9">
        <f>Depreciation!AA289</f>
        <v>36.559182397072988</v>
      </c>
      <c r="S38" s="9">
        <f t="shared" si="25"/>
        <v>0.19</v>
      </c>
      <c r="T38" s="13">
        <f t="shared" si="26"/>
        <v>36.749182397072985</v>
      </c>
      <c r="U38" s="9">
        <v>10.33872249027522</v>
      </c>
      <c r="V38" s="9">
        <f t="shared" si="27"/>
        <v>0.19</v>
      </c>
      <c r="W38" s="13">
        <f t="shared" si="28"/>
        <v>10.52872249027522</v>
      </c>
      <c r="X38" s="9">
        <f>Depreciation!AI289</f>
        <v>11.518729755678457</v>
      </c>
      <c r="Y38" s="9">
        <f t="shared" si="29"/>
        <v>0.19</v>
      </c>
      <c r="Z38" s="13">
        <f t="shared" si="30"/>
        <v>11.708729755678457</v>
      </c>
      <c r="AA38" s="9">
        <v>14.829526491391773</v>
      </c>
      <c r="AB38" s="9">
        <f t="shared" ref="AB38" si="38">V38</f>
        <v>0.19</v>
      </c>
      <c r="AC38" s="13">
        <f t="shared" si="31"/>
        <v>15.019526491391773</v>
      </c>
      <c r="AD38" s="9">
        <f>Depreciation!AQ289</f>
        <v>14.535155541920242</v>
      </c>
      <c r="AE38" s="9">
        <f t="shared" si="32"/>
        <v>0.19</v>
      </c>
      <c r="AF38" s="13">
        <f t="shared" si="33"/>
        <v>14.725155541920241</v>
      </c>
      <c r="AG38" s="9">
        <v>21.744437113768068</v>
      </c>
      <c r="AH38" s="9">
        <f t="shared" si="34"/>
        <v>0.19</v>
      </c>
      <c r="AI38" s="13">
        <f t="shared" si="35"/>
        <v>21.93443711376807</v>
      </c>
      <c r="AJ38" s="9">
        <f>Depreciation!AY289</f>
        <v>18.880698708523862</v>
      </c>
      <c r="AK38" s="9">
        <f t="shared" si="36"/>
        <v>0.19</v>
      </c>
      <c r="AL38" s="13">
        <f t="shared" si="37"/>
        <v>19.070698708523864</v>
      </c>
    </row>
    <row r="39" spans="2:38" x14ac:dyDescent="0.35">
      <c r="B39" s="12" t="s">
        <v>27</v>
      </c>
      <c r="C39" s="13">
        <f>SUM(C25:C38)</f>
        <v>2058.1859818632693</v>
      </c>
      <c r="D39" s="13">
        <f>SUM(D25:D38)</f>
        <v>33.392304105150892</v>
      </c>
      <c r="E39" s="13">
        <f t="shared" si="18"/>
        <v>2091.57828596842</v>
      </c>
      <c r="F39" s="13">
        <f>SUM(F25:F38)</f>
        <v>2050.3758902969516</v>
      </c>
      <c r="G39" s="13">
        <f>SUM(G25:G38)</f>
        <v>33.392304105150892</v>
      </c>
      <c r="H39" s="13">
        <f t="shared" si="20"/>
        <v>2083.7681944021024</v>
      </c>
      <c r="I39" s="13">
        <f>SUM(I25:I38)</f>
        <v>2094.7578907572679</v>
      </c>
      <c r="J39" s="13">
        <f>SUM(J25:J38)</f>
        <v>31.978856141999998</v>
      </c>
      <c r="K39" s="13">
        <f t="shared" si="21"/>
        <v>2126.7367468992679</v>
      </c>
      <c r="L39" s="13">
        <f>SUM(L25:L38)</f>
        <v>2079.7293113384449</v>
      </c>
      <c r="M39" s="13">
        <f>SUM(M25:M38)</f>
        <v>31.978856141999998</v>
      </c>
      <c r="N39" s="13">
        <f t="shared" si="23"/>
        <v>2111.7081674804449</v>
      </c>
      <c r="O39" s="13">
        <f>SUM(O25:O38)</f>
        <v>1967.4766338414893</v>
      </c>
      <c r="P39" s="13">
        <f>SUM(P25:P38)</f>
        <v>32.201787318160029</v>
      </c>
      <c r="Q39" s="13">
        <f t="shared" si="24"/>
        <v>1999.6784211596494</v>
      </c>
      <c r="R39" s="13">
        <f>SUM(R25:R38)</f>
        <v>1950.5012812265095</v>
      </c>
      <c r="S39" s="13">
        <f>SUM(S25:S38)</f>
        <v>32.201787318160029</v>
      </c>
      <c r="T39" s="13">
        <f t="shared" si="26"/>
        <v>1982.7030685446696</v>
      </c>
      <c r="U39" s="13">
        <f>SUM(U25:U38)</f>
        <v>2027.2275368313806</v>
      </c>
      <c r="V39" s="13">
        <f>SUM(V25:V38)</f>
        <v>32.201787318160029</v>
      </c>
      <c r="W39" s="13">
        <f t="shared" si="28"/>
        <v>2059.4293241495407</v>
      </c>
      <c r="X39" s="13">
        <f>SUM(X25:X38)</f>
        <v>2002.2079192515764</v>
      </c>
      <c r="Y39" s="13">
        <f>SUM(Y25:Y38)</f>
        <v>32.201787318160029</v>
      </c>
      <c r="Z39" s="13">
        <f t="shared" si="30"/>
        <v>2034.4097065697365</v>
      </c>
      <c r="AA39" s="13">
        <f>SUM(AA25:AA38)</f>
        <v>2306.6972335826536</v>
      </c>
      <c r="AB39" s="13">
        <f>SUM(AB25:AB38)</f>
        <v>30.110292836506879</v>
      </c>
      <c r="AC39" s="13">
        <f t="shared" si="31"/>
        <v>2336.8075264191602</v>
      </c>
      <c r="AD39" s="13">
        <f>SUM(AD25:AD38)</f>
        <v>2160.6435865828594</v>
      </c>
      <c r="AE39" s="13">
        <f>SUM(AE25:AE38)</f>
        <v>30.110292836506879</v>
      </c>
      <c r="AF39" s="13">
        <f t="shared" si="33"/>
        <v>2190.7538794193661</v>
      </c>
      <c r="AG39" s="13">
        <f>SUM(AG25:AG38)</f>
        <v>2868.6474256567367</v>
      </c>
      <c r="AH39" s="13">
        <f>SUM(AH25:AH38)</f>
        <v>30.110292836506879</v>
      </c>
      <c r="AI39" s="13">
        <f t="shared" si="35"/>
        <v>2898.7577184932434</v>
      </c>
      <c r="AJ39" s="13">
        <f>SUM(AJ25:AJ38)</f>
        <v>2466.5325252042871</v>
      </c>
      <c r="AK39" s="13">
        <f>SUM(AK25:AK38)</f>
        <v>30.110292836506879</v>
      </c>
      <c r="AL39" s="13">
        <f t="shared" si="37"/>
        <v>2496.6428180407938</v>
      </c>
    </row>
  </sheetData>
  <mergeCells count="26">
    <mergeCell ref="AD23:AF23"/>
    <mergeCell ref="AG23:AI23"/>
    <mergeCell ref="AJ23:AL23"/>
    <mergeCell ref="AA22:AF22"/>
    <mergeCell ref="AG22:AL22"/>
    <mergeCell ref="O23:Q23"/>
    <mergeCell ref="AA23:AC23"/>
    <mergeCell ref="R23:T23"/>
    <mergeCell ref="U23:W23"/>
    <mergeCell ref="X23:Z23"/>
    <mergeCell ref="U22:Z22"/>
    <mergeCell ref="B3:B4"/>
    <mergeCell ref="C3:E3"/>
    <mergeCell ref="F3:H3"/>
    <mergeCell ref="I3:K3"/>
    <mergeCell ref="L3:N3"/>
    <mergeCell ref="O3:Q3"/>
    <mergeCell ref="R3:T3"/>
    <mergeCell ref="B22:B24"/>
    <mergeCell ref="C22:H22"/>
    <mergeCell ref="I22:N22"/>
    <mergeCell ref="O22:T22"/>
    <mergeCell ref="C23:E23"/>
    <mergeCell ref="F23:H23"/>
    <mergeCell ref="I23:K23"/>
    <mergeCell ref="L23:N2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Y289"/>
  <sheetViews>
    <sheetView showGridLines="0" zoomScale="80" zoomScaleNormal="80" workbookViewId="0">
      <pane xSplit="2" ySplit="4" topLeftCell="C183" activePane="bottomRight" state="frozen"/>
      <selection pane="topRight"/>
      <selection pane="bottomLeft"/>
      <selection pane="bottomRight" activeCell="K194" sqref="K194"/>
    </sheetView>
  </sheetViews>
  <sheetFormatPr defaultColWidth="9.1796875" defaultRowHeight="15.5" x14ac:dyDescent="0.35"/>
  <cols>
    <col min="1" max="1" width="9.1796875" style="5"/>
    <col min="2" max="2" width="32.26953125" style="5" customWidth="1"/>
    <col min="3" max="3" width="13.54296875" style="5" customWidth="1"/>
    <col min="4" max="4" width="11.7265625" style="5" customWidth="1"/>
    <col min="5" max="5" width="10.54296875" style="5" bestFit="1" customWidth="1"/>
    <col min="6" max="6" width="15.26953125" style="5" customWidth="1"/>
    <col min="7" max="7" width="13.7265625" style="5" customWidth="1"/>
    <col min="8" max="8" width="17.453125" style="5" customWidth="1"/>
    <col min="9" max="9" width="17.26953125" style="5" customWidth="1"/>
    <col min="10" max="10" width="13.26953125" style="5" customWidth="1"/>
    <col min="11" max="11" width="13.453125" style="5" bestFit="1" customWidth="1"/>
    <col min="12" max="12" width="11.7265625" style="5" customWidth="1"/>
    <col min="13" max="13" width="10.54296875" style="5" bestFit="1" customWidth="1"/>
    <col min="14" max="14" width="17.26953125" style="5" customWidth="1"/>
    <col min="15" max="15" width="13.7265625" style="5" customWidth="1"/>
    <col min="16" max="16" width="17.453125" style="5" customWidth="1"/>
    <col min="17" max="17" width="16.81640625" style="5" customWidth="1"/>
    <col min="18" max="18" width="13.26953125" style="5" customWidth="1"/>
    <col min="19" max="19" width="13.453125" style="5" bestFit="1" customWidth="1"/>
    <col min="20" max="20" width="11.7265625" style="5" customWidth="1"/>
    <col min="21" max="21" width="10.54296875" style="5" bestFit="1" customWidth="1"/>
    <col min="22" max="22" width="15.1796875" style="5" customWidth="1"/>
    <col min="23" max="23" width="13.7265625" style="5" customWidth="1"/>
    <col min="24" max="24" width="17.453125" style="5" customWidth="1"/>
    <col min="25" max="25" width="16.81640625" style="5" customWidth="1"/>
    <col min="26" max="26" width="13.26953125" style="5" customWidth="1"/>
    <col min="27" max="27" width="13.453125" style="5" bestFit="1" customWidth="1"/>
    <col min="28" max="28" width="11.7265625" style="5" customWidth="1"/>
    <col min="29" max="29" width="10.54296875" style="5" bestFit="1" customWidth="1"/>
    <col min="30" max="30" width="15.54296875" style="5" customWidth="1"/>
    <col min="31" max="31" width="13.7265625" style="5" customWidth="1"/>
    <col min="32" max="32" width="17.453125" style="5" customWidth="1"/>
    <col min="33" max="33" width="16.54296875" style="5" customWidth="1"/>
    <col min="34" max="34" width="13.26953125" style="5" customWidth="1"/>
    <col min="35" max="35" width="13.453125" style="5" bestFit="1" customWidth="1"/>
    <col min="36" max="36" width="11.7265625" style="5" customWidth="1"/>
    <col min="37" max="37" width="10.54296875" style="5" bestFit="1" customWidth="1"/>
    <col min="38" max="38" width="18.54296875" style="5" customWidth="1"/>
    <col min="39" max="39" width="13.7265625" style="5" customWidth="1"/>
    <col min="40" max="40" width="17.453125" style="5" customWidth="1"/>
    <col min="41" max="41" width="16.26953125" style="5" customWidth="1"/>
    <col min="42" max="42" width="13.26953125" style="5" customWidth="1"/>
    <col min="43" max="43" width="13.453125" style="5" bestFit="1" customWidth="1"/>
    <col min="44" max="44" width="11.7265625" style="5" customWidth="1"/>
    <col min="45" max="45" width="10.54296875" style="5" bestFit="1" customWidth="1"/>
    <col min="46" max="46" width="15.54296875" style="5" customWidth="1"/>
    <col min="47" max="47" width="13.7265625" style="5" customWidth="1"/>
    <col min="48" max="48" width="17.453125" style="5" customWidth="1"/>
    <col min="49" max="49" width="17.26953125" style="5" customWidth="1"/>
    <col min="50" max="50" width="13.26953125" style="5" customWidth="1"/>
    <col min="51" max="51" width="13.453125" style="5" bestFit="1" customWidth="1"/>
    <col min="52" max="16384" width="9.1796875" style="5"/>
  </cols>
  <sheetData>
    <row r="2" spans="2:51" x14ac:dyDescent="0.35">
      <c r="B2" s="3" t="s">
        <v>24</v>
      </c>
      <c r="C2" s="3"/>
    </row>
    <row r="3" spans="2:51" x14ac:dyDescent="0.35">
      <c r="B3" s="156" t="s">
        <v>9</v>
      </c>
      <c r="C3" s="194" t="s">
        <v>230</v>
      </c>
      <c r="D3" s="193" t="s">
        <v>31</v>
      </c>
      <c r="E3" s="193"/>
      <c r="F3" s="193"/>
      <c r="G3" s="193"/>
      <c r="H3" s="193"/>
      <c r="I3" s="193"/>
      <c r="J3" s="193"/>
      <c r="K3" s="193"/>
      <c r="L3" s="193" t="s">
        <v>32</v>
      </c>
      <c r="M3" s="193"/>
      <c r="N3" s="193"/>
      <c r="O3" s="193"/>
      <c r="P3" s="193"/>
      <c r="Q3" s="193"/>
      <c r="R3" s="193"/>
      <c r="S3" s="193"/>
      <c r="T3" s="193" t="s">
        <v>33</v>
      </c>
      <c r="U3" s="193"/>
      <c r="V3" s="193"/>
      <c r="W3" s="193"/>
      <c r="X3" s="193"/>
      <c r="Y3" s="193"/>
      <c r="Z3" s="193"/>
      <c r="AA3" s="193"/>
      <c r="AB3" s="193" t="s">
        <v>34</v>
      </c>
      <c r="AC3" s="193"/>
      <c r="AD3" s="193"/>
      <c r="AE3" s="193"/>
      <c r="AF3" s="193"/>
      <c r="AG3" s="193"/>
      <c r="AH3" s="193"/>
      <c r="AI3" s="193"/>
      <c r="AJ3" s="193" t="s">
        <v>35</v>
      </c>
      <c r="AK3" s="193"/>
      <c r="AL3" s="193"/>
      <c r="AM3" s="193"/>
      <c r="AN3" s="193"/>
      <c r="AO3" s="193"/>
      <c r="AP3" s="193"/>
      <c r="AQ3" s="193"/>
      <c r="AR3" s="193" t="s">
        <v>127</v>
      </c>
      <c r="AS3" s="193"/>
      <c r="AT3" s="193"/>
      <c r="AU3" s="193"/>
      <c r="AV3" s="193"/>
      <c r="AW3" s="193"/>
      <c r="AX3" s="193"/>
      <c r="AY3" s="193"/>
    </row>
    <row r="4" spans="2:51" ht="45" x14ac:dyDescent="0.35">
      <c r="B4" s="157"/>
      <c r="C4" s="195"/>
      <c r="D4" s="114" t="s">
        <v>231</v>
      </c>
      <c r="E4" s="114" t="s">
        <v>128</v>
      </c>
      <c r="F4" s="114" t="s">
        <v>206</v>
      </c>
      <c r="G4" s="114" t="s">
        <v>232</v>
      </c>
      <c r="H4" s="114" t="s">
        <v>233</v>
      </c>
      <c r="I4" s="114" t="s">
        <v>234</v>
      </c>
      <c r="J4" s="114" t="s">
        <v>235</v>
      </c>
      <c r="K4" s="114" t="s">
        <v>24</v>
      </c>
      <c r="L4" s="114" t="s">
        <v>231</v>
      </c>
      <c r="M4" s="114" t="s">
        <v>128</v>
      </c>
      <c r="N4" s="114" t="s">
        <v>206</v>
      </c>
      <c r="O4" s="114" t="s">
        <v>232</v>
      </c>
      <c r="P4" s="114" t="s">
        <v>233</v>
      </c>
      <c r="Q4" s="114" t="s">
        <v>234</v>
      </c>
      <c r="R4" s="114" t="s">
        <v>235</v>
      </c>
      <c r="S4" s="114" t="s">
        <v>24</v>
      </c>
      <c r="T4" s="114" t="s">
        <v>231</v>
      </c>
      <c r="U4" s="114" t="s">
        <v>128</v>
      </c>
      <c r="V4" s="114" t="s">
        <v>206</v>
      </c>
      <c r="W4" s="114" t="s">
        <v>232</v>
      </c>
      <c r="X4" s="114" t="s">
        <v>233</v>
      </c>
      <c r="Y4" s="114" t="s">
        <v>234</v>
      </c>
      <c r="Z4" s="114" t="s">
        <v>235</v>
      </c>
      <c r="AA4" s="114" t="s">
        <v>24</v>
      </c>
      <c r="AB4" s="114" t="s">
        <v>231</v>
      </c>
      <c r="AC4" s="114" t="s">
        <v>128</v>
      </c>
      <c r="AD4" s="114" t="s">
        <v>206</v>
      </c>
      <c r="AE4" s="114" t="s">
        <v>232</v>
      </c>
      <c r="AF4" s="114" t="s">
        <v>233</v>
      </c>
      <c r="AG4" s="114" t="s">
        <v>234</v>
      </c>
      <c r="AH4" s="114" t="s">
        <v>235</v>
      </c>
      <c r="AI4" s="114" t="s">
        <v>24</v>
      </c>
      <c r="AJ4" s="114" t="s">
        <v>231</v>
      </c>
      <c r="AK4" s="114" t="s">
        <v>128</v>
      </c>
      <c r="AL4" s="114" t="s">
        <v>206</v>
      </c>
      <c r="AM4" s="114" t="s">
        <v>232</v>
      </c>
      <c r="AN4" s="114" t="s">
        <v>233</v>
      </c>
      <c r="AO4" s="114" t="s">
        <v>234</v>
      </c>
      <c r="AP4" s="114" t="s">
        <v>235</v>
      </c>
      <c r="AQ4" s="114" t="s">
        <v>24</v>
      </c>
      <c r="AR4" s="114" t="s">
        <v>231</v>
      </c>
      <c r="AS4" s="114" t="s">
        <v>128</v>
      </c>
      <c r="AT4" s="114" t="s">
        <v>206</v>
      </c>
      <c r="AU4" s="114" t="s">
        <v>232</v>
      </c>
      <c r="AV4" s="114" t="s">
        <v>233</v>
      </c>
      <c r="AW4" s="114" t="s">
        <v>234</v>
      </c>
      <c r="AX4" s="114" t="s">
        <v>235</v>
      </c>
      <c r="AY4" s="114" t="s">
        <v>24</v>
      </c>
    </row>
    <row r="5" spans="2:51" x14ac:dyDescent="0.35">
      <c r="B5" s="70" t="s">
        <v>43</v>
      </c>
      <c r="C5" s="70"/>
      <c r="D5" s="12">
        <v>3.09</v>
      </c>
      <c r="E5" s="7"/>
      <c r="F5" s="7"/>
      <c r="G5" s="7"/>
      <c r="H5" s="7"/>
      <c r="I5" s="7"/>
      <c r="J5" s="7"/>
      <c r="K5" s="7"/>
      <c r="L5" s="12">
        <f>D5-1+3</f>
        <v>5.09</v>
      </c>
      <c r="M5" s="7"/>
      <c r="N5" s="7"/>
      <c r="O5" s="7"/>
      <c r="P5" s="7"/>
      <c r="Q5" s="7"/>
      <c r="R5" s="7"/>
      <c r="S5" s="7"/>
      <c r="T5" s="12">
        <f>L5-1</f>
        <v>4.09</v>
      </c>
      <c r="U5" s="7"/>
      <c r="V5" s="7"/>
      <c r="W5" s="7"/>
      <c r="X5" s="7"/>
      <c r="Y5" s="7"/>
      <c r="Z5" s="7"/>
      <c r="AA5" s="7"/>
      <c r="AB5" s="12">
        <f>T5-1</f>
        <v>3.09</v>
      </c>
      <c r="AC5" s="7"/>
      <c r="AD5" s="7"/>
      <c r="AE5" s="7"/>
      <c r="AF5" s="7"/>
      <c r="AG5" s="7"/>
      <c r="AH5" s="7"/>
      <c r="AI5" s="7"/>
      <c r="AJ5" s="12">
        <f>AB5-1</f>
        <v>2.09</v>
      </c>
      <c r="AK5" s="7"/>
      <c r="AL5" s="7"/>
      <c r="AM5" s="7"/>
      <c r="AN5" s="7"/>
      <c r="AO5" s="7"/>
      <c r="AP5" s="7"/>
      <c r="AQ5" s="7"/>
      <c r="AR5" s="12">
        <f>AJ5-1</f>
        <v>1.0899999999999999</v>
      </c>
      <c r="AS5" s="9"/>
      <c r="AT5" s="9"/>
      <c r="AU5" s="9"/>
      <c r="AV5" s="9"/>
      <c r="AW5" s="9"/>
      <c r="AX5" s="9"/>
      <c r="AY5" s="9"/>
    </row>
    <row r="6" spans="2:51" x14ac:dyDescent="0.35">
      <c r="B6" s="7" t="s">
        <v>133</v>
      </c>
      <c r="C6" s="14">
        <v>0</v>
      </c>
      <c r="D6" s="9"/>
      <c r="E6" s="9">
        <f>GFA!D7</f>
        <v>3.4063698999999996</v>
      </c>
      <c r="F6" s="9">
        <f>GFA!F7</f>
        <v>0</v>
      </c>
      <c r="G6" s="97">
        <v>0</v>
      </c>
      <c r="H6" s="9">
        <v>0</v>
      </c>
      <c r="I6" s="115">
        <f>IFERROR(H6/G6,0)</f>
        <v>0</v>
      </c>
      <c r="J6" s="116">
        <f>MAX(G6-H6,0)</f>
        <v>0</v>
      </c>
      <c r="K6" s="97">
        <f>IF(I6&lt;70%,MIN(J6,(E6+(F6-GFA!H7)/2)*$C6),J6/D$5)</f>
        <v>0</v>
      </c>
      <c r="L6" s="9"/>
      <c r="M6" s="9">
        <f>GFA!L7</f>
        <v>3.4063698999999996</v>
      </c>
      <c r="N6" s="9">
        <f>GFA!N7</f>
        <v>0</v>
      </c>
      <c r="O6" s="97">
        <v>0</v>
      </c>
      <c r="P6" s="9">
        <f>H6+K6</f>
        <v>0</v>
      </c>
      <c r="Q6" s="115">
        <f>IFERROR(P6/O6,0)</f>
        <v>0</v>
      </c>
      <c r="R6" s="116">
        <f>MAX(O6-P6,0)</f>
        <v>0</v>
      </c>
      <c r="S6" s="97">
        <f>IF(Q6&lt;70%,MIN(R6,(M6+N6/2)*$C6),R6/L$5)</f>
        <v>0</v>
      </c>
      <c r="T6" s="9"/>
      <c r="U6" s="9">
        <f>GFA!T7</f>
        <v>3.4063698999999996</v>
      </c>
      <c r="V6" s="9">
        <f>GFA!V7</f>
        <v>0</v>
      </c>
      <c r="W6" s="97">
        <v>0</v>
      </c>
      <c r="X6" s="9">
        <f>P6+S6</f>
        <v>0</v>
      </c>
      <c r="Y6" s="115">
        <f>IFERROR(X6/W6,0)</f>
        <v>0</v>
      </c>
      <c r="Z6" s="116">
        <f>MAX(W6-X6,0)</f>
        <v>0</v>
      </c>
      <c r="AA6" s="97">
        <f>IF(Y6&lt;70%,MIN(Z6,(U6+V6/2)*$C6),Z6/T$5)</f>
        <v>0</v>
      </c>
      <c r="AB6" s="9"/>
      <c r="AC6" s="9">
        <f>GFA!AB7</f>
        <v>3.4063698999999996</v>
      </c>
      <c r="AD6" s="9">
        <f>GFA!AD7</f>
        <v>0</v>
      </c>
      <c r="AE6" s="97">
        <v>0</v>
      </c>
      <c r="AF6" s="9">
        <f>X6+AA6</f>
        <v>0</v>
      </c>
      <c r="AG6" s="115">
        <f>IFERROR(AF6/AE6,0)</f>
        <v>0</v>
      </c>
      <c r="AH6" s="116">
        <f>MAX(AE6-AF6,0)</f>
        <v>0</v>
      </c>
      <c r="AI6" s="97">
        <f>IF(AG6&lt;70%,MIN(AH6,(AC6+AD6/2)*$C6),AH6/AB$5)</f>
        <v>0</v>
      </c>
      <c r="AJ6" s="9"/>
      <c r="AK6" s="9">
        <f>GFA!AJ7</f>
        <v>3.4063698999999996</v>
      </c>
      <c r="AL6" s="9">
        <f>GFA!AL7</f>
        <v>0</v>
      </c>
      <c r="AM6" s="97">
        <v>0</v>
      </c>
      <c r="AN6" s="9">
        <f>AF6+AI6</f>
        <v>0</v>
      </c>
      <c r="AO6" s="115">
        <f>IFERROR(AN6/AM6,0)</f>
        <v>0</v>
      </c>
      <c r="AP6" s="116">
        <f>MAX(AM6-AN6,0)</f>
        <v>0</v>
      </c>
      <c r="AQ6" s="97">
        <f>IF(AO6&lt;70%,MIN(AP6,(AK6+AL6/2)*$C6),AP6/AJ$5)</f>
        <v>0</v>
      </c>
      <c r="AR6" s="9"/>
      <c r="AS6" s="9">
        <f>GFA!AR7</f>
        <v>3.4063698999999996</v>
      </c>
      <c r="AT6" s="9">
        <f>GFA!AT7</f>
        <v>0</v>
      </c>
      <c r="AU6" s="97">
        <v>0</v>
      </c>
      <c r="AV6" s="9">
        <f>AN6+AQ6</f>
        <v>0</v>
      </c>
      <c r="AW6" s="115">
        <f>IFERROR(AV6/AU6,0)</f>
        <v>0</v>
      </c>
      <c r="AX6" s="116">
        <f>MAX(AU6-AV6,0)</f>
        <v>0</v>
      </c>
      <c r="AY6" s="97">
        <f>IF(AW6&lt;70%,MIN(AX6,(AS6+AT6/2)*$C6),AX6/AR$5)</f>
        <v>0</v>
      </c>
    </row>
    <row r="7" spans="2:51" x14ac:dyDescent="0.35">
      <c r="B7" s="7" t="s">
        <v>134</v>
      </c>
      <c r="C7" s="14">
        <v>3.3399999999999999E-2</v>
      </c>
      <c r="D7" s="9"/>
      <c r="E7" s="9">
        <f>GFA!D8</f>
        <v>18.696834195890411</v>
      </c>
      <c r="F7" s="9">
        <f>GFA!F8</f>
        <v>0</v>
      </c>
      <c r="G7" s="97">
        <f>90%*(E7+F7)</f>
        <v>16.827150776301369</v>
      </c>
      <c r="H7" s="9">
        <v>16.258858578436893</v>
      </c>
      <c r="I7" s="115">
        <f t="shared" ref="I7:I22" si="0">IFERROR(H7/G7,0)</f>
        <v>0.96622766352906075</v>
      </c>
      <c r="J7" s="116">
        <f t="shared" ref="J7:J22" si="1">MAX(G7-H7,0)</f>
        <v>0.56829219786447638</v>
      </c>
      <c r="K7" s="97">
        <f>IF(I7&lt;70%,MIN(J7,(E7+F7/2)*$C7),J7/D$5)</f>
        <v>0.18391333264222537</v>
      </c>
      <c r="L7" s="9"/>
      <c r="M7" s="9">
        <f>GFA!L8</f>
        <v>18.696834195890411</v>
      </c>
      <c r="N7" s="9">
        <f>GFA!N8</f>
        <v>0</v>
      </c>
      <c r="O7" s="97">
        <f>90%*(M7+N7)</f>
        <v>16.827150776301369</v>
      </c>
      <c r="P7" s="9">
        <f>H7+K7</f>
        <v>16.44277191107912</v>
      </c>
      <c r="Q7" s="115">
        <f t="shared" ref="Q7:Q22" si="2">IFERROR(P7/O7,0)</f>
        <v>0.97715722225752011</v>
      </c>
      <c r="R7" s="116">
        <f t="shared" ref="R7:R22" si="3">MAX(O7-P7,0)</f>
        <v>0.38437886522224929</v>
      </c>
      <c r="S7" s="97">
        <f>IF(Q7&lt;70%,MIN(R7,(M7+N7/2)*$C7),R7/L$5)</f>
        <v>7.5516476468025409E-2</v>
      </c>
      <c r="T7" s="9"/>
      <c r="U7" s="9">
        <f>GFA!T8</f>
        <v>18.696834195890411</v>
      </c>
      <c r="V7" s="9">
        <f>GFA!V8</f>
        <v>0</v>
      </c>
      <c r="W7" s="97">
        <f>90%*(U7+V7)</f>
        <v>16.827150776301369</v>
      </c>
      <c r="X7" s="9">
        <f>P7+S7</f>
        <v>16.518288387547145</v>
      </c>
      <c r="Y7" s="115">
        <f t="shared" ref="Y7:Y22" si="4">IFERROR(X7/W7,0)</f>
        <v>0.98164499784543369</v>
      </c>
      <c r="Z7" s="116">
        <f t="shared" ref="Z7:Z22" si="5">MAX(W7-X7,0)</f>
        <v>0.30886238875422478</v>
      </c>
      <c r="AA7" s="97">
        <f>IF(Y7&lt;70%,MIN(Z7,(U7+V7/2)*$C7),Z7/T$5)</f>
        <v>7.5516476468025617E-2</v>
      </c>
      <c r="AB7" s="9"/>
      <c r="AC7" s="9">
        <f>GFA!AB8</f>
        <v>18.54565659589041</v>
      </c>
      <c r="AD7" s="9">
        <f>GFA!AD8</f>
        <v>0</v>
      </c>
      <c r="AE7" s="97">
        <f>90%*(AC7+AD7)</f>
        <v>16.691090936301368</v>
      </c>
      <c r="AF7" s="9">
        <f>X7+AA7</f>
        <v>16.593804864015169</v>
      </c>
      <c r="AG7" s="115">
        <f t="shared" ref="AG7:AG22" si="6">IFERROR(AF7/AE7,0)</f>
        <v>0.99417137725404081</v>
      </c>
      <c r="AH7" s="116">
        <f t="shared" ref="AH7:AH22" si="7">MAX(AE7-AF7,0)</f>
        <v>9.7286072286198788E-2</v>
      </c>
      <c r="AI7" s="97">
        <f>IF(AG7&lt;70%,MIN(AH7,(AC7+AD7/2)*$C7),AH7/AB$5)</f>
        <v>3.148416578841385E-2</v>
      </c>
      <c r="AJ7" s="9"/>
      <c r="AK7" s="9">
        <f>GFA!AJ8</f>
        <v>18.54565659589041</v>
      </c>
      <c r="AL7" s="9">
        <f>GFA!AL8</f>
        <v>0</v>
      </c>
      <c r="AM7" s="97">
        <f>90%*(AK7+AL7)</f>
        <v>16.691090936301368</v>
      </c>
      <c r="AN7" s="9">
        <f>AF7+AI7</f>
        <v>16.625289029803582</v>
      </c>
      <c r="AO7" s="115">
        <f t="shared" ref="AO7:AO22" si="8">IFERROR(AN7/AM7,0)</f>
        <v>0.99605766293234477</v>
      </c>
      <c r="AP7" s="116">
        <f t="shared" ref="AP7:AP22" si="9">MAX(AM7-AN7,0)</f>
        <v>6.5801906497785723E-2</v>
      </c>
      <c r="AQ7" s="97">
        <f>IF(AO7&lt;70%,MIN(AP7,(AK7+AL7/2)*$C7),AP7/AJ$5)</f>
        <v>3.1484165788414224E-2</v>
      </c>
      <c r="AR7" s="9"/>
      <c r="AS7" s="9">
        <f>GFA!AR8</f>
        <v>18.54565659589041</v>
      </c>
      <c r="AT7" s="9">
        <f>GFA!AT8</f>
        <v>0</v>
      </c>
      <c r="AU7" s="97">
        <f>90%*(AS7+AT7)</f>
        <v>16.691090936301368</v>
      </c>
      <c r="AV7" s="9">
        <f>AN7+AQ7</f>
        <v>16.656773195591995</v>
      </c>
      <c r="AW7" s="115">
        <f t="shared" ref="AW7:AW22" si="10">IFERROR(AV7/AU7,0)</f>
        <v>0.99794394861064861</v>
      </c>
      <c r="AX7" s="116">
        <f t="shared" ref="AX7:AX22" si="11">MAX(AU7-AV7,0)</f>
        <v>3.4317740709372657E-2</v>
      </c>
      <c r="AY7" s="97">
        <f>IF(AW7&lt;70%,MIN(AX7,(AS7+AT7/2)*$C7),AX7/AR$5)</f>
        <v>3.1484165788415286E-2</v>
      </c>
    </row>
    <row r="8" spans="2:51" ht="31" x14ac:dyDescent="0.35">
      <c r="B8" s="84" t="s">
        <v>135</v>
      </c>
      <c r="C8" s="117">
        <v>5.28E-2</v>
      </c>
      <c r="D8" s="9"/>
      <c r="E8" s="9">
        <f>GFA!D9</f>
        <v>0</v>
      </c>
      <c r="F8" s="9">
        <f>GFA!F9</f>
        <v>0</v>
      </c>
      <c r="G8" s="97">
        <f t="shared" ref="G8:G22" si="12">90%*(E8+F8)</f>
        <v>0</v>
      </c>
      <c r="H8" s="9">
        <v>0</v>
      </c>
      <c r="I8" s="115">
        <f t="shared" si="0"/>
        <v>0</v>
      </c>
      <c r="J8" s="116">
        <f t="shared" si="1"/>
        <v>0</v>
      </c>
      <c r="K8" s="97">
        <f t="shared" ref="K8:K22" si="13">IF(I8&lt;70%,MIN(J8,(E8+F8/2)*$C8),J8/D$5)</f>
        <v>0</v>
      </c>
      <c r="L8" s="9"/>
      <c r="M8" s="9">
        <f>GFA!L9</f>
        <v>0</v>
      </c>
      <c r="N8" s="9">
        <f>GFA!N9</f>
        <v>0</v>
      </c>
      <c r="O8" s="97">
        <f t="shared" ref="O8:O22" si="14">90%*(M8+N8)</f>
        <v>0</v>
      </c>
      <c r="P8" s="9">
        <f t="shared" ref="P8:P22" si="15">H8+K8</f>
        <v>0</v>
      </c>
      <c r="Q8" s="115">
        <f t="shared" si="2"/>
        <v>0</v>
      </c>
      <c r="R8" s="116">
        <f t="shared" si="3"/>
        <v>0</v>
      </c>
      <c r="S8" s="97">
        <f t="shared" ref="S8:S22" si="16">IF(Q8&lt;70%,MIN(R8,(M8+N8/2)*$C8),R8/L$5)</f>
        <v>0</v>
      </c>
      <c r="T8" s="9"/>
      <c r="U8" s="9">
        <f>GFA!T9</f>
        <v>0</v>
      </c>
      <c r="V8" s="9">
        <f>GFA!V9</f>
        <v>0</v>
      </c>
      <c r="W8" s="97">
        <f t="shared" ref="W8:W22" si="17">90%*(U8+V8)</f>
        <v>0</v>
      </c>
      <c r="X8" s="9">
        <f t="shared" ref="X8:X22" si="18">P8+S8</f>
        <v>0</v>
      </c>
      <c r="Y8" s="115">
        <f t="shared" si="4"/>
        <v>0</v>
      </c>
      <c r="Z8" s="116">
        <f t="shared" si="5"/>
        <v>0</v>
      </c>
      <c r="AA8" s="97">
        <f t="shared" ref="AA8:AA22" si="19">IF(Y8&lt;70%,MIN(Z8,(U8+V8/2)*$C8),Z8/T$5)</f>
        <v>0</v>
      </c>
      <c r="AB8" s="9"/>
      <c r="AC8" s="9">
        <f>GFA!AB9</f>
        <v>0</v>
      </c>
      <c r="AD8" s="9">
        <f>GFA!AD9</f>
        <v>0</v>
      </c>
      <c r="AE8" s="97">
        <f t="shared" ref="AE8:AE22" si="20">90%*(AC8+AD8)</f>
        <v>0</v>
      </c>
      <c r="AF8" s="9">
        <f t="shared" ref="AF8:AF22" si="21">X8+AA8</f>
        <v>0</v>
      </c>
      <c r="AG8" s="115">
        <f t="shared" si="6"/>
        <v>0</v>
      </c>
      <c r="AH8" s="116">
        <f t="shared" si="7"/>
        <v>0</v>
      </c>
      <c r="AI8" s="97">
        <f t="shared" ref="AI8:AI22" si="22">IF(AG8&lt;70%,MIN(AH8,(AC8+AD8/2)*$C8),AH8/AB$5)</f>
        <v>0</v>
      </c>
      <c r="AJ8" s="9"/>
      <c r="AK8" s="9">
        <f>GFA!AJ9</f>
        <v>0</v>
      </c>
      <c r="AL8" s="9">
        <f>GFA!AL9</f>
        <v>0</v>
      </c>
      <c r="AM8" s="97">
        <f t="shared" ref="AM8:AM22" si="23">90%*(AK8+AL8)</f>
        <v>0</v>
      </c>
      <c r="AN8" s="9">
        <f t="shared" ref="AN8:AN22" si="24">AF8+AI8</f>
        <v>0</v>
      </c>
      <c r="AO8" s="115">
        <f t="shared" si="8"/>
        <v>0</v>
      </c>
      <c r="AP8" s="116">
        <f t="shared" si="9"/>
        <v>0</v>
      </c>
      <c r="AQ8" s="97">
        <f t="shared" ref="AQ8:AQ22" si="25">IF(AO8&lt;70%,MIN(AP8,(AK8+AL8/2)*$C8),AP8/AJ$5)</f>
        <v>0</v>
      </c>
      <c r="AR8" s="9"/>
      <c r="AS8" s="9">
        <f>GFA!AR9</f>
        <v>0</v>
      </c>
      <c r="AT8" s="9">
        <f>GFA!AT9</f>
        <v>0</v>
      </c>
      <c r="AU8" s="97">
        <f t="shared" ref="AU8:AU22" si="26">90%*(AS8+AT8)</f>
        <v>0</v>
      </c>
      <c r="AV8" s="9">
        <f t="shared" ref="AV8:AV22" si="27">AN8+AQ8</f>
        <v>0</v>
      </c>
      <c r="AW8" s="115">
        <f t="shared" si="10"/>
        <v>0</v>
      </c>
      <c r="AX8" s="116">
        <f t="shared" si="11"/>
        <v>0</v>
      </c>
      <c r="AY8" s="97">
        <f t="shared" ref="AY8:AY22" si="28">IF(AW8&lt;70%,MIN(AX8,(AS8+AT8/2)*$C8),AX8/AR$5)</f>
        <v>0</v>
      </c>
    </row>
    <row r="9" spans="2:51" x14ac:dyDescent="0.35">
      <c r="B9" s="7" t="s">
        <v>136</v>
      </c>
      <c r="C9" s="14">
        <v>5.28E-2</v>
      </c>
      <c r="D9" s="9"/>
      <c r="E9" s="9">
        <f>GFA!D10</f>
        <v>68.092653000000013</v>
      </c>
      <c r="F9" s="9">
        <f>GFA!F10</f>
        <v>0</v>
      </c>
      <c r="G9" s="97">
        <f t="shared" si="12"/>
        <v>61.283387700000013</v>
      </c>
      <c r="H9" s="9">
        <v>57.344177313550986</v>
      </c>
      <c r="I9" s="115">
        <f t="shared" si="0"/>
        <v>0.93572139964369128</v>
      </c>
      <c r="J9" s="116">
        <f t="shared" si="1"/>
        <v>3.9392103864490267</v>
      </c>
      <c r="K9" s="97">
        <f t="shared" si="13"/>
        <v>1.2748253677828565</v>
      </c>
      <c r="L9" s="9"/>
      <c r="M9" s="9">
        <f>GFA!L10</f>
        <v>68.092653000000013</v>
      </c>
      <c r="N9" s="9">
        <f>GFA!N10</f>
        <v>0</v>
      </c>
      <c r="O9" s="97">
        <f t="shared" si="14"/>
        <v>61.283387700000013</v>
      </c>
      <c r="P9" s="9">
        <f t="shared" si="15"/>
        <v>58.619002681333839</v>
      </c>
      <c r="Q9" s="115">
        <f t="shared" si="2"/>
        <v>0.95652353568133153</v>
      </c>
      <c r="R9" s="116">
        <f t="shared" si="3"/>
        <v>2.6643850186661737</v>
      </c>
      <c r="S9" s="97">
        <f t="shared" si="16"/>
        <v>0.52345481702675323</v>
      </c>
      <c r="T9" s="9"/>
      <c r="U9" s="9">
        <f>GFA!T10</f>
        <v>68.092653000000013</v>
      </c>
      <c r="V9" s="9">
        <f>GFA!V10</f>
        <v>0</v>
      </c>
      <c r="W9" s="97">
        <f t="shared" si="17"/>
        <v>61.283387700000013</v>
      </c>
      <c r="X9" s="9">
        <f t="shared" si="18"/>
        <v>59.142457498360592</v>
      </c>
      <c r="Y9" s="115">
        <f t="shared" si="4"/>
        <v>0.96506508073411512</v>
      </c>
      <c r="Z9" s="116">
        <f t="shared" si="5"/>
        <v>2.1409302016394207</v>
      </c>
      <c r="AA9" s="97">
        <f t="shared" si="19"/>
        <v>0.52345481702675323</v>
      </c>
      <c r="AB9" s="9"/>
      <c r="AC9" s="9">
        <f>GFA!AB10</f>
        <v>68.092653000000013</v>
      </c>
      <c r="AD9" s="9">
        <f>GFA!AD10</f>
        <v>0</v>
      </c>
      <c r="AE9" s="97">
        <f t="shared" si="20"/>
        <v>61.283387700000013</v>
      </c>
      <c r="AF9" s="9">
        <f t="shared" si="21"/>
        <v>59.665912315387345</v>
      </c>
      <c r="AG9" s="115">
        <f t="shared" si="6"/>
        <v>0.97360662578689872</v>
      </c>
      <c r="AH9" s="116">
        <f t="shared" si="7"/>
        <v>1.6174753846126677</v>
      </c>
      <c r="AI9" s="97">
        <f t="shared" si="22"/>
        <v>0.52345481702675334</v>
      </c>
      <c r="AJ9" s="9"/>
      <c r="AK9" s="9">
        <f>GFA!AJ10</f>
        <v>68.092653000000013</v>
      </c>
      <c r="AL9" s="9">
        <f>GFA!AL10</f>
        <v>0</v>
      </c>
      <c r="AM9" s="97">
        <f t="shared" si="23"/>
        <v>61.283387700000013</v>
      </c>
      <c r="AN9" s="9">
        <f t="shared" si="24"/>
        <v>60.189367132414098</v>
      </c>
      <c r="AO9" s="115">
        <f t="shared" si="8"/>
        <v>0.98214817083968231</v>
      </c>
      <c r="AP9" s="116">
        <f t="shared" si="9"/>
        <v>1.0940205675859147</v>
      </c>
      <c r="AQ9" s="97">
        <f t="shared" si="25"/>
        <v>0.52345481702675345</v>
      </c>
      <c r="AR9" s="9"/>
      <c r="AS9" s="9">
        <f>GFA!AR10</f>
        <v>68.092653000000013</v>
      </c>
      <c r="AT9" s="9">
        <f>GFA!AT10</f>
        <v>0</v>
      </c>
      <c r="AU9" s="97">
        <f t="shared" si="26"/>
        <v>61.283387700000013</v>
      </c>
      <c r="AV9" s="9">
        <f t="shared" si="27"/>
        <v>60.712821949440851</v>
      </c>
      <c r="AW9" s="115">
        <f t="shared" si="10"/>
        <v>0.99068971589246591</v>
      </c>
      <c r="AX9" s="116">
        <f t="shared" si="11"/>
        <v>0.5705657505591617</v>
      </c>
      <c r="AY9" s="97">
        <f t="shared" si="28"/>
        <v>0.52345481702675389</v>
      </c>
    </row>
    <row r="10" spans="2:51" x14ac:dyDescent="0.35">
      <c r="B10" s="7" t="s">
        <v>137</v>
      </c>
      <c r="C10" s="14">
        <v>3.3399999999999999E-2</v>
      </c>
      <c r="D10" s="9"/>
      <c r="E10" s="9">
        <f>GFA!D11</f>
        <v>84.548094000000006</v>
      </c>
      <c r="F10" s="9">
        <f>GFA!F11</f>
        <v>0</v>
      </c>
      <c r="G10" s="97">
        <f t="shared" si="12"/>
        <v>76.093284600000004</v>
      </c>
      <c r="H10" s="9">
        <v>43.12324154097643</v>
      </c>
      <c r="I10" s="115">
        <f t="shared" si="0"/>
        <v>0.56671546993486499</v>
      </c>
      <c r="J10" s="116">
        <f t="shared" si="1"/>
        <v>32.970043059023574</v>
      </c>
      <c r="K10" s="97">
        <f t="shared" si="13"/>
        <v>2.8239063396000001</v>
      </c>
      <c r="L10" s="9"/>
      <c r="M10" s="9">
        <f>GFA!L11</f>
        <v>84.548094000000006</v>
      </c>
      <c r="N10" s="9">
        <f>GFA!N11</f>
        <v>0</v>
      </c>
      <c r="O10" s="97">
        <f t="shared" si="14"/>
        <v>76.093284600000004</v>
      </c>
      <c r="P10" s="9">
        <f t="shared" si="15"/>
        <v>45.947147880576431</v>
      </c>
      <c r="Q10" s="115">
        <f t="shared" si="2"/>
        <v>0.6038265810459762</v>
      </c>
      <c r="R10" s="116">
        <f t="shared" si="3"/>
        <v>30.146136719423573</v>
      </c>
      <c r="S10" s="97">
        <f t="shared" si="16"/>
        <v>2.8239063396000001</v>
      </c>
      <c r="T10" s="9"/>
      <c r="U10" s="9">
        <f>GFA!T11</f>
        <v>84.548094000000006</v>
      </c>
      <c r="V10" s="9">
        <f>GFA!V11</f>
        <v>0</v>
      </c>
      <c r="W10" s="97">
        <f t="shared" si="17"/>
        <v>76.093284600000004</v>
      </c>
      <c r="X10" s="9">
        <f t="shared" si="18"/>
        <v>48.771054220176431</v>
      </c>
      <c r="Y10" s="115">
        <f t="shared" si="4"/>
        <v>0.64093769215708729</v>
      </c>
      <c r="Z10" s="116">
        <f t="shared" si="5"/>
        <v>27.322230379823573</v>
      </c>
      <c r="AA10" s="97">
        <f t="shared" si="19"/>
        <v>2.8239063396000001</v>
      </c>
      <c r="AB10" s="9"/>
      <c r="AC10" s="9">
        <f>GFA!AB11</f>
        <v>84.548094000000006</v>
      </c>
      <c r="AD10" s="9">
        <f>GFA!AD11</f>
        <v>0</v>
      </c>
      <c r="AE10" s="97">
        <f t="shared" si="20"/>
        <v>76.093284600000004</v>
      </c>
      <c r="AF10" s="9">
        <f t="shared" si="21"/>
        <v>51.594960559776432</v>
      </c>
      <c r="AG10" s="115">
        <f t="shared" si="6"/>
        <v>0.67804880326819839</v>
      </c>
      <c r="AH10" s="116">
        <f t="shared" si="7"/>
        <v>24.498324040223572</v>
      </c>
      <c r="AI10" s="97">
        <f t="shared" si="22"/>
        <v>2.8239063396000001</v>
      </c>
      <c r="AJ10" s="9"/>
      <c r="AK10" s="9">
        <f>GFA!AJ11</f>
        <v>84.548094000000006</v>
      </c>
      <c r="AL10" s="9">
        <f>GFA!AL11</f>
        <v>0</v>
      </c>
      <c r="AM10" s="97">
        <f t="shared" si="23"/>
        <v>76.093284600000004</v>
      </c>
      <c r="AN10" s="9">
        <f t="shared" si="24"/>
        <v>54.418866899376432</v>
      </c>
      <c r="AO10" s="115">
        <f t="shared" si="8"/>
        <v>0.71515991437930948</v>
      </c>
      <c r="AP10" s="116">
        <f t="shared" si="9"/>
        <v>21.674417700623572</v>
      </c>
      <c r="AQ10" s="97">
        <f t="shared" si="25"/>
        <v>10.370534784987356</v>
      </c>
      <c r="AR10" s="9"/>
      <c r="AS10" s="9">
        <f>GFA!AR11</f>
        <v>84.548094000000006</v>
      </c>
      <c r="AT10" s="9">
        <f>GFA!AT11</f>
        <v>0</v>
      </c>
      <c r="AU10" s="97">
        <f t="shared" si="26"/>
        <v>76.093284600000004</v>
      </c>
      <c r="AV10" s="9">
        <f t="shared" si="27"/>
        <v>64.789401684363781</v>
      </c>
      <c r="AW10" s="115">
        <f t="shared" si="10"/>
        <v>0.85144703668585986</v>
      </c>
      <c r="AX10" s="116">
        <f t="shared" si="11"/>
        <v>11.303882915636223</v>
      </c>
      <c r="AY10" s="97">
        <f t="shared" si="28"/>
        <v>10.370534784987361</v>
      </c>
    </row>
    <row r="11" spans="2:51" x14ac:dyDescent="0.35">
      <c r="B11" s="7" t="s">
        <v>138</v>
      </c>
      <c r="C11" s="14">
        <v>5.28E-2</v>
      </c>
      <c r="D11" s="9"/>
      <c r="E11" s="9">
        <f>GFA!D12</f>
        <v>279.44917344157545</v>
      </c>
      <c r="F11" s="9">
        <f>GFA!F12</f>
        <v>3.0814996105929287</v>
      </c>
      <c r="G11" s="97">
        <f t="shared" si="12"/>
        <v>254.27760574695154</v>
      </c>
      <c r="H11" s="9">
        <v>219.71360624600416</v>
      </c>
      <c r="I11" s="115">
        <f t="shared" si="0"/>
        <v>0.86406982479084571</v>
      </c>
      <c r="J11" s="116">
        <f t="shared" si="1"/>
        <v>34.563999500947375</v>
      </c>
      <c r="K11" s="97">
        <f t="shared" si="13"/>
        <v>11.185760356293649</v>
      </c>
      <c r="L11" s="9"/>
      <c r="M11" s="9">
        <f>GFA!L12</f>
        <v>278.30180795216836</v>
      </c>
      <c r="N11" s="9">
        <f>GFA!N12</f>
        <v>6.1085672110010929</v>
      </c>
      <c r="O11" s="97">
        <f t="shared" si="14"/>
        <v>255.96933764685252</v>
      </c>
      <c r="P11" s="9">
        <f t="shared" si="15"/>
        <v>230.89936660229782</v>
      </c>
      <c r="Q11" s="115">
        <f t="shared" si="2"/>
        <v>0.90205869470529154</v>
      </c>
      <c r="R11" s="116">
        <f t="shared" si="3"/>
        <v>25.069971044554705</v>
      </c>
      <c r="S11" s="97">
        <f t="shared" si="16"/>
        <v>4.9253381227022999</v>
      </c>
      <c r="T11" s="9"/>
      <c r="U11" s="9">
        <f>GFA!T12</f>
        <v>284.41037516316948</v>
      </c>
      <c r="V11" s="9">
        <f>GFA!V12</f>
        <v>5.151066201496389E-2</v>
      </c>
      <c r="W11" s="97">
        <f t="shared" si="17"/>
        <v>256.01569724266596</v>
      </c>
      <c r="X11" s="9">
        <f t="shared" si="18"/>
        <v>235.82470472500012</v>
      </c>
      <c r="Y11" s="115">
        <f t="shared" si="4"/>
        <v>0.92113377134634167</v>
      </c>
      <c r="Z11" s="116">
        <f t="shared" si="5"/>
        <v>20.190992517665848</v>
      </c>
      <c r="AA11" s="97">
        <f t="shared" si="19"/>
        <v>4.9366729872043642</v>
      </c>
      <c r="AB11" s="9"/>
      <c r="AC11" s="9">
        <f>GFA!AB12</f>
        <v>284.46188582518442</v>
      </c>
      <c r="AD11" s="9">
        <f>GFA!AD12</f>
        <v>0</v>
      </c>
      <c r="AE11" s="97">
        <f t="shared" si="20"/>
        <v>256.01569724266596</v>
      </c>
      <c r="AF11" s="9">
        <f t="shared" si="21"/>
        <v>240.76137771220448</v>
      </c>
      <c r="AG11" s="115">
        <f t="shared" si="6"/>
        <v>0.94041646783867872</v>
      </c>
      <c r="AH11" s="116">
        <f t="shared" si="7"/>
        <v>15.254319530461487</v>
      </c>
      <c r="AI11" s="97">
        <f t="shared" si="22"/>
        <v>4.9366729872043651</v>
      </c>
      <c r="AJ11" s="9"/>
      <c r="AK11" s="9">
        <f>GFA!AJ12</f>
        <v>284.46188582518442</v>
      </c>
      <c r="AL11" s="9">
        <f>GFA!AL12</f>
        <v>5.54</v>
      </c>
      <c r="AM11" s="97">
        <f t="shared" si="23"/>
        <v>261.00169724266601</v>
      </c>
      <c r="AN11" s="9">
        <f t="shared" si="24"/>
        <v>245.69805069940884</v>
      </c>
      <c r="AO11" s="115">
        <f t="shared" si="8"/>
        <v>0.9413657202043838</v>
      </c>
      <c r="AP11" s="116">
        <f t="shared" si="9"/>
        <v>15.303646543257173</v>
      </c>
      <c r="AQ11" s="97">
        <f t="shared" si="25"/>
        <v>7.322318920218744</v>
      </c>
      <c r="AR11" s="9"/>
      <c r="AS11" s="9">
        <f>GFA!AR12</f>
        <v>290.00188582518444</v>
      </c>
      <c r="AT11" s="9">
        <f>GFA!AT12</f>
        <v>0</v>
      </c>
      <c r="AU11" s="97">
        <f t="shared" si="26"/>
        <v>261.00169724266601</v>
      </c>
      <c r="AV11" s="9">
        <f t="shared" si="27"/>
        <v>253.02036961962759</v>
      </c>
      <c r="AW11" s="115">
        <f t="shared" si="10"/>
        <v>0.96942039953242987</v>
      </c>
      <c r="AX11" s="116">
        <f t="shared" si="11"/>
        <v>7.9813276230384247</v>
      </c>
      <c r="AY11" s="97">
        <f t="shared" si="28"/>
        <v>7.3223189202187395</v>
      </c>
    </row>
    <row r="12" spans="2:51" x14ac:dyDescent="0.35">
      <c r="B12" s="7" t="s">
        <v>139</v>
      </c>
      <c r="C12" s="14">
        <v>0.18</v>
      </c>
      <c r="D12" s="9"/>
      <c r="E12" s="9">
        <f>GFA!D13</f>
        <v>0.78466334246575353</v>
      </c>
      <c r="F12" s="9">
        <f>GFA!F13</f>
        <v>0</v>
      </c>
      <c r="G12" s="97">
        <f t="shared" si="12"/>
        <v>0.70619700821917819</v>
      </c>
      <c r="H12" s="9">
        <v>0</v>
      </c>
      <c r="I12" s="115">
        <f t="shared" si="0"/>
        <v>0</v>
      </c>
      <c r="J12" s="116">
        <f t="shared" si="1"/>
        <v>0.70619700821917819</v>
      </c>
      <c r="K12" s="97">
        <f t="shared" si="13"/>
        <v>0.14123940164383564</v>
      </c>
      <c r="L12" s="9"/>
      <c r="M12" s="9">
        <f>GFA!L13</f>
        <v>0.78466334246575353</v>
      </c>
      <c r="N12" s="9">
        <f>GFA!N13</f>
        <v>0</v>
      </c>
      <c r="O12" s="97">
        <f t="shared" si="14"/>
        <v>0.70619700821917819</v>
      </c>
      <c r="P12" s="9">
        <f t="shared" si="15"/>
        <v>0.14123940164383564</v>
      </c>
      <c r="Q12" s="115">
        <f t="shared" si="2"/>
        <v>0.2</v>
      </c>
      <c r="R12" s="116">
        <f t="shared" si="3"/>
        <v>0.56495760657534255</v>
      </c>
      <c r="S12" s="97">
        <f t="shared" si="16"/>
        <v>0.14123940164383564</v>
      </c>
      <c r="T12" s="9"/>
      <c r="U12" s="9">
        <f>GFA!T13</f>
        <v>0.78466334246575353</v>
      </c>
      <c r="V12" s="9">
        <f>GFA!V13</f>
        <v>1.7165592866997548</v>
      </c>
      <c r="W12" s="97">
        <f t="shared" si="17"/>
        <v>2.2511003662489575</v>
      </c>
      <c r="X12" s="9">
        <f t="shared" si="18"/>
        <v>0.28247880328767128</v>
      </c>
      <c r="Y12" s="115">
        <f t="shared" si="4"/>
        <v>0.12548476626049773</v>
      </c>
      <c r="Z12" s="116">
        <f t="shared" si="5"/>
        <v>1.9686215629612862</v>
      </c>
      <c r="AA12" s="97">
        <f t="shared" si="19"/>
        <v>0.29572973744681358</v>
      </c>
      <c r="AB12" s="9"/>
      <c r="AC12" s="9">
        <f>GFA!AB13</f>
        <v>2.5012226291655084</v>
      </c>
      <c r="AD12" s="9">
        <f>GFA!AD13</f>
        <v>0</v>
      </c>
      <c r="AE12" s="97">
        <f t="shared" si="20"/>
        <v>2.2511003662489575</v>
      </c>
      <c r="AF12" s="9">
        <f t="shared" si="21"/>
        <v>0.5782085407344848</v>
      </c>
      <c r="AG12" s="115">
        <f t="shared" si="6"/>
        <v>0.25685595782562215</v>
      </c>
      <c r="AH12" s="116">
        <f t="shared" si="7"/>
        <v>1.6728918255144727</v>
      </c>
      <c r="AI12" s="97">
        <f t="shared" si="22"/>
        <v>0.45022007324979152</v>
      </c>
      <c r="AJ12" s="9"/>
      <c r="AK12" s="9">
        <f>GFA!AJ13</f>
        <v>2.5012226291655084</v>
      </c>
      <c r="AL12" s="9">
        <f>GFA!AL13</f>
        <v>0</v>
      </c>
      <c r="AM12" s="97">
        <f t="shared" si="23"/>
        <v>2.2511003662489575</v>
      </c>
      <c r="AN12" s="9">
        <f t="shared" si="24"/>
        <v>1.0284286139842762</v>
      </c>
      <c r="AO12" s="115">
        <f t="shared" si="8"/>
        <v>0.45685595782562211</v>
      </c>
      <c r="AP12" s="116">
        <f t="shared" si="9"/>
        <v>1.2226717522646813</v>
      </c>
      <c r="AQ12" s="97">
        <f t="shared" si="25"/>
        <v>0.45022007324979152</v>
      </c>
      <c r="AR12" s="9"/>
      <c r="AS12" s="9">
        <f>GFA!AR13</f>
        <v>2.5012226291655084</v>
      </c>
      <c r="AT12" s="9">
        <f>GFA!AT13</f>
        <v>0</v>
      </c>
      <c r="AU12" s="97">
        <f t="shared" si="26"/>
        <v>2.2511003662489575</v>
      </c>
      <c r="AV12" s="9">
        <f t="shared" si="27"/>
        <v>1.4786486872340676</v>
      </c>
      <c r="AW12" s="115">
        <f t="shared" si="10"/>
        <v>0.65685595782562212</v>
      </c>
      <c r="AX12" s="116">
        <f t="shared" si="11"/>
        <v>0.77245167901488987</v>
      </c>
      <c r="AY12" s="97">
        <f t="shared" si="28"/>
        <v>0.45022007324979152</v>
      </c>
    </row>
    <row r="13" spans="2:51" x14ac:dyDescent="0.35">
      <c r="B13" s="7" t="s">
        <v>140</v>
      </c>
      <c r="C13" s="14">
        <v>5.28E-2</v>
      </c>
      <c r="D13" s="9"/>
      <c r="E13" s="9">
        <f>GFA!D14</f>
        <v>0</v>
      </c>
      <c r="F13" s="9">
        <f>GFA!F14</f>
        <v>0</v>
      </c>
      <c r="G13" s="97">
        <f t="shared" si="12"/>
        <v>0</v>
      </c>
      <c r="H13" s="9">
        <v>0</v>
      </c>
      <c r="I13" s="115">
        <f t="shared" si="0"/>
        <v>0</v>
      </c>
      <c r="J13" s="116">
        <f t="shared" si="1"/>
        <v>0</v>
      </c>
      <c r="K13" s="97">
        <f t="shared" si="13"/>
        <v>0</v>
      </c>
      <c r="L13" s="9"/>
      <c r="M13" s="9">
        <f>GFA!L14</f>
        <v>0</v>
      </c>
      <c r="N13" s="9">
        <f>GFA!N14</f>
        <v>6.1432788998907202E-2</v>
      </c>
      <c r="O13" s="97">
        <f t="shared" si="14"/>
        <v>5.5289510099016483E-2</v>
      </c>
      <c r="P13" s="9">
        <f t="shared" si="15"/>
        <v>0</v>
      </c>
      <c r="Q13" s="115">
        <f t="shared" si="2"/>
        <v>0</v>
      </c>
      <c r="R13" s="116">
        <f t="shared" si="3"/>
        <v>5.5289510099016483E-2</v>
      </c>
      <c r="S13" s="97">
        <f t="shared" si="16"/>
        <v>1.6218256295711501E-3</v>
      </c>
      <c r="T13" s="9"/>
      <c r="U13" s="9">
        <f>GFA!T14</f>
        <v>6.1432788998907202E-2</v>
      </c>
      <c r="V13" s="9">
        <f>GFA!V14</f>
        <v>0</v>
      </c>
      <c r="W13" s="97">
        <f t="shared" si="17"/>
        <v>5.5289510099016483E-2</v>
      </c>
      <c r="X13" s="9">
        <f t="shared" si="18"/>
        <v>1.6218256295711501E-3</v>
      </c>
      <c r="Y13" s="115">
        <f t="shared" si="4"/>
        <v>2.9333333333333333E-2</v>
      </c>
      <c r="Z13" s="116">
        <f t="shared" si="5"/>
        <v>5.366768446944533E-2</v>
      </c>
      <c r="AA13" s="97">
        <f t="shared" si="19"/>
        <v>3.2436512591423002E-3</v>
      </c>
      <c r="AB13" s="9"/>
      <c r="AC13" s="9">
        <f>GFA!AB14</f>
        <v>6.1432788998907202E-2</v>
      </c>
      <c r="AD13" s="9">
        <f>GFA!AD14</f>
        <v>0</v>
      </c>
      <c r="AE13" s="97">
        <f t="shared" si="20"/>
        <v>5.5289510099016483E-2</v>
      </c>
      <c r="AF13" s="9">
        <f t="shared" si="21"/>
        <v>4.8654768887134506E-3</v>
      </c>
      <c r="AG13" s="115">
        <f t="shared" si="6"/>
        <v>8.8000000000000009E-2</v>
      </c>
      <c r="AH13" s="116">
        <f t="shared" si="7"/>
        <v>5.0424033210303032E-2</v>
      </c>
      <c r="AI13" s="97">
        <f t="shared" si="22"/>
        <v>3.2436512591423002E-3</v>
      </c>
      <c r="AJ13" s="9"/>
      <c r="AK13" s="9">
        <f>GFA!AJ14</f>
        <v>6.1432788998907202E-2</v>
      </c>
      <c r="AL13" s="9">
        <f>GFA!AL14</f>
        <v>0</v>
      </c>
      <c r="AM13" s="97">
        <f t="shared" si="23"/>
        <v>5.5289510099016483E-2</v>
      </c>
      <c r="AN13" s="9">
        <f t="shared" si="24"/>
        <v>8.1091281478557504E-3</v>
      </c>
      <c r="AO13" s="115">
        <f t="shared" si="8"/>
        <v>0.14666666666666667</v>
      </c>
      <c r="AP13" s="116">
        <f t="shared" si="9"/>
        <v>4.7180381951160734E-2</v>
      </c>
      <c r="AQ13" s="97">
        <f t="shared" si="25"/>
        <v>3.2436512591423002E-3</v>
      </c>
      <c r="AR13" s="9"/>
      <c r="AS13" s="9">
        <f>GFA!AR14</f>
        <v>6.1432788998907202E-2</v>
      </c>
      <c r="AT13" s="9">
        <f>GFA!AT14</f>
        <v>0</v>
      </c>
      <c r="AU13" s="97">
        <f t="shared" si="26"/>
        <v>5.5289510099016483E-2</v>
      </c>
      <c r="AV13" s="9">
        <f t="shared" si="27"/>
        <v>1.135277940699805E-2</v>
      </c>
      <c r="AW13" s="115">
        <f t="shared" si="10"/>
        <v>0.20533333333333331</v>
      </c>
      <c r="AX13" s="116">
        <f t="shared" si="11"/>
        <v>4.3936730692018436E-2</v>
      </c>
      <c r="AY13" s="97">
        <f t="shared" si="28"/>
        <v>3.2436512591423002E-3</v>
      </c>
    </row>
    <row r="14" spans="2:51" x14ac:dyDescent="0.35">
      <c r="B14" s="7" t="s">
        <v>141</v>
      </c>
      <c r="C14" s="14">
        <v>5.28E-2</v>
      </c>
      <c r="D14" s="9"/>
      <c r="E14" s="9">
        <f>GFA!D15</f>
        <v>0</v>
      </c>
      <c r="F14" s="9">
        <f>GFA!F15</f>
        <v>0</v>
      </c>
      <c r="G14" s="97">
        <f t="shared" si="12"/>
        <v>0</v>
      </c>
      <c r="H14" s="9">
        <v>0.3910440176002814</v>
      </c>
      <c r="I14" s="115">
        <f t="shared" si="0"/>
        <v>0</v>
      </c>
      <c r="J14" s="116">
        <f t="shared" si="1"/>
        <v>0</v>
      </c>
      <c r="K14" s="97">
        <f t="shared" si="13"/>
        <v>0</v>
      </c>
      <c r="L14" s="9"/>
      <c r="M14" s="9">
        <f>GFA!L15</f>
        <v>0</v>
      </c>
      <c r="N14" s="9">
        <f>GFA!N15</f>
        <v>0</v>
      </c>
      <c r="O14" s="97">
        <f t="shared" si="14"/>
        <v>0</v>
      </c>
      <c r="P14" s="9">
        <f t="shared" si="15"/>
        <v>0.3910440176002814</v>
      </c>
      <c r="Q14" s="115">
        <f t="shared" si="2"/>
        <v>0</v>
      </c>
      <c r="R14" s="116">
        <f t="shared" si="3"/>
        <v>0</v>
      </c>
      <c r="S14" s="97">
        <f t="shared" si="16"/>
        <v>0</v>
      </c>
      <c r="T14" s="9"/>
      <c r="U14" s="9">
        <f>GFA!T15</f>
        <v>0</v>
      </c>
      <c r="V14" s="9">
        <f>GFA!V15</f>
        <v>0</v>
      </c>
      <c r="W14" s="97">
        <f t="shared" si="17"/>
        <v>0</v>
      </c>
      <c r="X14" s="9">
        <f t="shared" si="18"/>
        <v>0.3910440176002814</v>
      </c>
      <c r="Y14" s="115">
        <f t="shared" si="4"/>
        <v>0</v>
      </c>
      <c r="Z14" s="116">
        <f t="shared" si="5"/>
        <v>0</v>
      </c>
      <c r="AA14" s="97">
        <f t="shared" si="19"/>
        <v>0</v>
      </c>
      <c r="AB14" s="9"/>
      <c r="AC14" s="9">
        <f>GFA!AB15</f>
        <v>0</v>
      </c>
      <c r="AD14" s="9">
        <f>GFA!AD15</f>
        <v>0</v>
      </c>
      <c r="AE14" s="97">
        <f t="shared" si="20"/>
        <v>0</v>
      </c>
      <c r="AF14" s="9">
        <f t="shared" si="21"/>
        <v>0.3910440176002814</v>
      </c>
      <c r="AG14" s="115">
        <f t="shared" si="6"/>
        <v>0</v>
      </c>
      <c r="AH14" s="116">
        <f t="shared" si="7"/>
        <v>0</v>
      </c>
      <c r="AI14" s="97">
        <f t="shared" si="22"/>
        <v>0</v>
      </c>
      <c r="AJ14" s="9"/>
      <c r="AK14" s="9">
        <f>GFA!AJ15</f>
        <v>0</v>
      </c>
      <c r="AL14" s="9">
        <f>GFA!AL15</f>
        <v>0</v>
      </c>
      <c r="AM14" s="97">
        <f t="shared" si="23"/>
        <v>0</v>
      </c>
      <c r="AN14" s="9">
        <f t="shared" si="24"/>
        <v>0.3910440176002814</v>
      </c>
      <c r="AO14" s="115">
        <f t="shared" si="8"/>
        <v>0</v>
      </c>
      <c r="AP14" s="116">
        <f t="shared" si="9"/>
        <v>0</v>
      </c>
      <c r="AQ14" s="97">
        <f t="shared" si="25"/>
        <v>0</v>
      </c>
      <c r="AR14" s="9"/>
      <c r="AS14" s="9">
        <f>GFA!AR15</f>
        <v>0</v>
      </c>
      <c r="AT14" s="9">
        <f>GFA!AT15</f>
        <v>0</v>
      </c>
      <c r="AU14" s="97">
        <f t="shared" si="26"/>
        <v>0</v>
      </c>
      <c r="AV14" s="9">
        <f t="shared" si="27"/>
        <v>0.3910440176002814</v>
      </c>
      <c r="AW14" s="115">
        <f t="shared" si="10"/>
        <v>0</v>
      </c>
      <c r="AX14" s="116">
        <f t="shared" si="11"/>
        <v>0</v>
      </c>
      <c r="AY14" s="97">
        <f t="shared" si="28"/>
        <v>0</v>
      </c>
    </row>
    <row r="15" spans="2:51" x14ac:dyDescent="0.35">
      <c r="B15" s="7" t="s">
        <v>142</v>
      </c>
      <c r="C15" s="14">
        <v>9.5000000000000001E-2</v>
      </c>
      <c r="D15" s="9"/>
      <c r="E15" s="9">
        <f>GFA!D16</f>
        <v>1.4507770999999998</v>
      </c>
      <c r="F15" s="9">
        <f>GFA!F16</f>
        <v>0</v>
      </c>
      <c r="G15" s="97">
        <f t="shared" si="12"/>
        <v>1.3056993899999998</v>
      </c>
      <c r="H15" s="9">
        <v>1.3056993899999998</v>
      </c>
      <c r="I15" s="115">
        <f t="shared" si="0"/>
        <v>1</v>
      </c>
      <c r="J15" s="116">
        <f t="shared" si="1"/>
        <v>0</v>
      </c>
      <c r="K15" s="97">
        <f t="shared" si="13"/>
        <v>0</v>
      </c>
      <c r="L15" s="9"/>
      <c r="M15" s="9">
        <f>GFA!L16</f>
        <v>1.3493630999999997</v>
      </c>
      <c r="N15" s="9">
        <f>GFA!N16</f>
        <v>0</v>
      </c>
      <c r="O15" s="97">
        <f t="shared" si="14"/>
        <v>1.2144267899999999</v>
      </c>
      <c r="P15" s="9">
        <f t="shared" si="15"/>
        <v>1.3056993899999998</v>
      </c>
      <c r="Q15" s="115">
        <f t="shared" si="2"/>
        <v>1.075156938855079</v>
      </c>
      <c r="R15" s="116">
        <f t="shared" si="3"/>
        <v>0</v>
      </c>
      <c r="S15" s="97">
        <f t="shared" si="16"/>
        <v>0</v>
      </c>
      <c r="T15" s="9"/>
      <c r="U15" s="9">
        <f>GFA!T16</f>
        <v>1.3493630999999997</v>
      </c>
      <c r="V15" s="9">
        <f>GFA!V16</f>
        <v>0</v>
      </c>
      <c r="W15" s="97">
        <f t="shared" si="17"/>
        <v>1.2144267899999999</v>
      </c>
      <c r="X15" s="9">
        <f t="shared" si="18"/>
        <v>1.3056993899999998</v>
      </c>
      <c r="Y15" s="115">
        <f t="shared" si="4"/>
        <v>1.075156938855079</v>
      </c>
      <c r="Z15" s="116">
        <f t="shared" si="5"/>
        <v>0</v>
      </c>
      <c r="AA15" s="97">
        <f t="shared" si="19"/>
        <v>0</v>
      </c>
      <c r="AB15" s="9"/>
      <c r="AC15" s="9">
        <f>GFA!AB16</f>
        <v>1.3493630999999997</v>
      </c>
      <c r="AD15" s="9">
        <f>GFA!AD16</f>
        <v>0</v>
      </c>
      <c r="AE15" s="97">
        <f t="shared" si="20"/>
        <v>1.2144267899999999</v>
      </c>
      <c r="AF15" s="9">
        <f t="shared" si="21"/>
        <v>1.3056993899999998</v>
      </c>
      <c r="AG15" s="115">
        <f t="shared" si="6"/>
        <v>1.075156938855079</v>
      </c>
      <c r="AH15" s="116">
        <f t="shared" si="7"/>
        <v>0</v>
      </c>
      <c r="AI15" s="97">
        <f t="shared" si="22"/>
        <v>0</v>
      </c>
      <c r="AJ15" s="9"/>
      <c r="AK15" s="9">
        <f>GFA!AJ16</f>
        <v>1.3493630999999997</v>
      </c>
      <c r="AL15" s="9">
        <f>GFA!AL16</f>
        <v>0</v>
      </c>
      <c r="AM15" s="97">
        <f t="shared" si="23"/>
        <v>1.2144267899999999</v>
      </c>
      <c r="AN15" s="9">
        <f t="shared" si="24"/>
        <v>1.3056993899999998</v>
      </c>
      <c r="AO15" s="115">
        <f t="shared" si="8"/>
        <v>1.075156938855079</v>
      </c>
      <c r="AP15" s="116">
        <f t="shared" si="9"/>
        <v>0</v>
      </c>
      <c r="AQ15" s="97">
        <f t="shared" si="25"/>
        <v>0</v>
      </c>
      <c r="AR15" s="9"/>
      <c r="AS15" s="9">
        <f>GFA!AR16</f>
        <v>1.3493630999999997</v>
      </c>
      <c r="AT15" s="9">
        <f>GFA!AT16</f>
        <v>0</v>
      </c>
      <c r="AU15" s="97">
        <f t="shared" si="26"/>
        <v>1.2144267899999999</v>
      </c>
      <c r="AV15" s="9">
        <f t="shared" si="27"/>
        <v>1.3056993899999998</v>
      </c>
      <c r="AW15" s="115">
        <f t="shared" si="10"/>
        <v>1.075156938855079</v>
      </c>
      <c r="AX15" s="116">
        <f t="shared" si="11"/>
        <v>0</v>
      </c>
      <c r="AY15" s="97">
        <f t="shared" si="28"/>
        <v>0</v>
      </c>
    </row>
    <row r="16" spans="2:51" x14ac:dyDescent="0.35">
      <c r="B16" s="7" t="s">
        <v>143</v>
      </c>
      <c r="C16" s="14">
        <v>6.3299999999999995E-2</v>
      </c>
      <c r="D16" s="9"/>
      <c r="E16" s="9">
        <f>GFA!D17</f>
        <v>0.6655724301369863</v>
      </c>
      <c r="F16" s="9">
        <f>GFA!F17</f>
        <v>2.2070080102781074E-2</v>
      </c>
      <c r="G16" s="97">
        <f t="shared" si="12"/>
        <v>0.61887825921579065</v>
      </c>
      <c r="H16" s="9">
        <v>0.59901518712328761</v>
      </c>
      <c r="I16" s="115">
        <f t="shared" si="0"/>
        <v>0.96790471825965829</v>
      </c>
      <c r="J16" s="116">
        <f t="shared" si="1"/>
        <v>1.9863072092503042E-2</v>
      </c>
      <c r="K16" s="97">
        <f t="shared" si="13"/>
        <v>6.4281786707129588E-3</v>
      </c>
      <c r="L16" s="9"/>
      <c r="M16" s="9">
        <f>GFA!L17</f>
        <v>0.68764251023976741</v>
      </c>
      <c r="N16" s="9">
        <f>GFA!N17</f>
        <v>0</v>
      </c>
      <c r="O16" s="97">
        <f t="shared" si="14"/>
        <v>0.61887825921579065</v>
      </c>
      <c r="P16" s="9">
        <f t="shared" si="15"/>
        <v>0.6054433657940006</v>
      </c>
      <c r="Q16" s="115">
        <f t="shared" si="2"/>
        <v>0.97829154082934822</v>
      </c>
      <c r="R16" s="116">
        <f t="shared" si="3"/>
        <v>1.3434893421790051E-2</v>
      </c>
      <c r="S16" s="97">
        <f t="shared" si="16"/>
        <v>2.6394682557544305E-3</v>
      </c>
      <c r="T16" s="9"/>
      <c r="U16" s="9">
        <f>GFA!T17</f>
        <v>0.68764251023976741</v>
      </c>
      <c r="V16" s="9">
        <f>GFA!V17</f>
        <v>0</v>
      </c>
      <c r="W16" s="97">
        <f t="shared" si="17"/>
        <v>0.61887825921579065</v>
      </c>
      <c r="X16" s="9">
        <f t="shared" si="18"/>
        <v>0.60808283404975505</v>
      </c>
      <c r="Y16" s="115">
        <f t="shared" si="4"/>
        <v>0.98255646404558628</v>
      </c>
      <c r="Z16" s="116">
        <f t="shared" si="5"/>
        <v>1.0795425166035599E-2</v>
      </c>
      <c r="AA16" s="97">
        <f t="shared" si="19"/>
        <v>2.6394682557544253E-3</v>
      </c>
      <c r="AB16" s="9"/>
      <c r="AC16" s="9">
        <f>GFA!AB17</f>
        <v>0.68764251023976741</v>
      </c>
      <c r="AD16" s="9">
        <f>GFA!AD17</f>
        <v>0</v>
      </c>
      <c r="AE16" s="97">
        <f t="shared" si="20"/>
        <v>0.61887825921579065</v>
      </c>
      <c r="AF16" s="9">
        <f t="shared" si="21"/>
        <v>0.6107223023055095</v>
      </c>
      <c r="AG16" s="115">
        <f t="shared" si="6"/>
        <v>0.98682138726182445</v>
      </c>
      <c r="AH16" s="116">
        <f t="shared" si="7"/>
        <v>8.155956910281148E-3</v>
      </c>
      <c r="AI16" s="97">
        <f t="shared" si="22"/>
        <v>2.6394682557544171E-3</v>
      </c>
      <c r="AJ16" s="9"/>
      <c r="AK16" s="9">
        <f>GFA!AJ17</f>
        <v>0.68764251023976741</v>
      </c>
      <c r="AL16" s="9">
        <f>GFA!AL17</f>
        <v>0</v>
      </c>
      <c r="AM16" s="97">
        <f t="shared" si="23"/>
        <v>0.61887825921579065</v>
      </c>
      <c r="AN16" s="9">
        <f t="shared" si="24"/>
        <v>0.61336177056126395</v>
      </c>
      <c r="AO16" s="115">
        <f t="shared" si="8"/>
        <v>0.9910863104780625</v>
      </c>
      <c r="AP16" s="116">
        <f t="shared" si="9"/>
        <v>5.5164886545266967E-3</v>
      </c>
      <c r="AQ16" s="97">
        <f t="shared" si="25"/>
        <v>2.6394682557544006E-3</v>
      </c>
      <c r="AR16" s="9"/>
      <c r="AS16" s="9">
        <f>GFA!AR17</f>
        <v>0.68764251023976741</v>
      </c>
      <c r="AT16" s="9">
        <f>GFA!AT17</f>
        <v>0</v>
      </c>
      <c r="AU16" s="97">
        <f t="shared" si="26"/>
        <v>0.61887825921579065</v>
      </c>
      <c r="AV16" s="9">
        <f t="shared" si="27"/>
        <v>0.6160012388170184</v>
      </c>
      <c r="AW16" s="115">
        <f t="shared" si="10"/>
        <v>0.99535123369430067</v>
      </c>
      <c r="AX16" s="116">
        <f t="shared" si="11"/>
        <v>2.8770203987722454E-3</v>
      </c>
      <c r="AY16" s="97">
        <f t="shared" si="28"/>
        <v>2.6394682557543537E-3</v>
      </c>
    </row>
    <row r="17" spans="2:51" x14ac:dyDescent="0.35">
      <c r="B17" s="7" t="s">
        <v>144</v>
      </c>
      <c r="C17" s="14">
        <v>6.3299999999999995E-2</v>
      </c>
      <c r="D17" s="9"/>
      <c r="E17" s="9">
        <f>GFA!D18</f>
        <v>1.5593061024520547</v>
      </c>
      <c r="F17" s="9">
        <f>GFA!F18</f>
        <v>0.60643030930429009</v>
      </c>
      <c r="G17" s="97">
        <f t="shared" si="12"/>
        <v>1.9491627705807104</v>
      </c>
      <c r="H17" s="9">
        <v>0.94579395538358402</v>
      </c>
      <c r="I17" s="115">
        <f t="shared" si="0"/>
        <v>0.48523087433165235</v>
      </c>
      <c r="J17" s="116">
        <f t="shared" si="1"/>
        <v>1.0033688151971263</v>
      </c>
      <c r="K17" s="97">
        <f t="shared" si="13"/>
        <v>0.11789759557469584</v>
      </c>
      <c r="L17" s="9"/>
      <c r="M17" s="9">
        <f>GFA!L18</f>
        <v>2.1657364117563449</v>
      </c>
      <c r="N17" s="9">
        <f>GFA!N18</f>
        <v>0</v>
      </c>
      <c r="O17" s="97">
        <f t="shared" si="14"/>
        <v>1.9491627705807104</v>
      </c>
      <c r="P17" s="9">
        <f t="shared" si="15"/>
        <v>1.0636915509582798</v>
      </c>
      <c r="Q17" s="115">
        <f t="shared" si="2"/>
        <v>0.54571714944123229</v>
      </c>
      <c r="R17" s="116">
        <f t="shared" si="3"/>
        <v>0.88547121962243058</v>
      </c>
      <c r="S17" s="97">
        <f t="shared" si="16"/>
        <v>0.13709111486417663</v>
      </c>
      <c r="T17" s="9"/>
      <c r="U17" s="9">
        <f>GFA!T18</f>
        <v>2.1657364117563449</v>
      </c>
      <c r="V17" s="9">
        <f>GFA!V18</f>
        <v>3.1930051285281265E-2</v>
      </c>
      <c r="W17" s="97">
        <f t="shared" si="17"/>
        <v>1.9778998167374637</v>
      </c>
      <c r="X17" s="9">
        <f t="shared" si="18"/>
        <v>1.2007826658224565</v>
      </c>
      <c r="Y17" s="115">
        <f t="shared" si="4"/>
        <v>0.6070998417923622</v>
      </c>
      <c r="Z17" s="116">
        <f t="shared" si="5"/>
        <v>0.77711715091500722</v>
      </c>
      <c r="AA17" s="97">
        <f t="shared" si="19"/>
        <v>0.13810170098735577</v>
      </c>
      <c r="AB17" s="9"/>
      <c r="AC17" s="9">
        <f>GFA!AB18</f>
        <v>2.1976664630416263</v>
      </c>
      <c r="AD17" s="9">
        <f>GFA!AD18</f>
        <v>0</v>
      </c>
      <c r="AE17" s="97">
        <f t="shared" si="20"/>
        <v>1.9778998167374637</v>
      </c>
      <c r="AF17" s="9">
        <f t="shared" si="21"/>
        <v>1.3388843668098123</v>
      </c>
      <c r="AG17" s="115">
        <f t="shared" si="6"/>
        <v>0.67692223614151281</v>
      </c>
      <c r="AH17" s="116">
        <f t="shared" si="7"/>
        <v>0.63901544992765147</v>
      </c>
      <c r="AI17" s="97">
        <f t="shared" si="22"/>
        <v>0.13911228711053494</v>
      </c>
      <c r="AJ17" s="9"/>
      <c r="AK17" s="9">
        <f>GFA!AJ18</f>
        <v>2.1976664630416263</v>
      </c>
      <c r="AL17" s="9">
        <f>GFA!AL18</f>
        <v>0</v>
      </c>
      <c r="AM17" s="97">
        <f t="shared" si="23"/>
        <v>1.9778998167374637</v>
      </c>
      <c r="AN17" s="9">
        <f t="shared" si="24"/>
        <v>1.4779966539203473</v>
      </c>
      <c r="AO17" s="115">
        <f t="shared" si="8"/>
        <v>0.74725556947484617</v>
      </c>
      <c r="AP17" s="116">
        <f t="shared" si="9"/>
        <v>0.49990316281711644</v>
      </c>
      <c r="AQ17" s="97">
        <f t="shared" si="25"/>
        <v>0.2391881161804385</v>
      </c>
      <c r="AR17" s="9"/>
      <c r="AS17" s="9">
        <f>GFA!AR18</f>
        <v>2.1976664630416263</v>
      </c>
      <c r="AT17" s="9">
        <f>GFA!AT18</f>
        <v>0</v>
      </c>
      <c r="AU17" s="97">
        <f t="shared" si="26"/>
        <v>1.9778998167374637</v>
      </c>
      <c r="AV17" s="9">
        <f t="shared" si="27"/>
        <v>1.7171847701007859</v>
      </c>
      <c r="AW17" s="115">
        <f t="shared" si="10"/>
        <v>0.86818591900841258</v>
      </c>
      <c r="AX17" s="116">
        <f t="shared" si="11"/>
        <v>0.26071504663667788</v>
      </c>
      <c r="AY17" s="97">
        <f t="shared" si="28"/>
        <v>0.23918811618043845</v>
      </c>
    </row>
    <row r="18" spans="2:51" x14ac:dyDescent="0.35">
      <c r="B18" s="7" t="s">
        <v>145</v>
      </c>
      <c r="C18" s="14">
        <v>6.3299999999999995E-2</v>
      </c>
      <c r="D18" s="9"/>
      <c r="E18" s="9">
        <f>GFA!D19</f>
        <v>0</v>
      </c>
      <c r="F18" s="9">
        <f>GFA!F19</f>
        <v>0</v>
      </c>
      <c r="G18" s="97">
        <f t="shared" si="12"/>
        <v>0</v>
      </c>
      <c r="H18" s="9">
        <v>0</v>
      </c>
      <c r="I18" s="115">
        <f t="shared" si="0"/>
        <v>0</v>
      </c>
      <c r="J18" s="116">
        <f t="shared" si="1"/>
        <v>0</v>
      </c>
      <c r="K18" s="97">
        <f t="shared" si="13"/>
        <v>0</v>
      </c>
      <c r="L18" s="9"/>
      <c r="M18" s="9">
        <f>GFA!L19</f>
        <v>0</v>
      </c>
      <c r="N18" s="9">
        <f>GFA!N19</f>
        <v>0</v>
      </c>
      <c r="O18" s="97">
        <f t="shared" si="14"/>
        <v>0</v>
      </c>
      <c r="P18" s="9">
        <f t="shared" si="15"/>
        <v>0</v>
      </c>
      <c r="Q18" s="115">
        <f t="shared" si="2"/>
        <v>0</v>
      </c>
      <c r="R18" s="116">
        <f t="shared" si="3"/>
        <v>0</v>
      </c>
      <c r="S18" s="97">
        <f t="shared" si="16"/>
        <v>0</v>
      </c>
      <c r="T18" s="9"/>
      <c r="U18" s="9">
        <f>GFA!T19</f>
        <v>0</v>
      </c>
      <c r="V18" s="9">
        <f>GFA!V19</f>
        <v>0</v>
      </c>
      <c r="W18" s="97">
        <f t="shared" si="17"/>
        <v>0</v>
      </c>
      <c r="X18" s="9">
        <f t="shared" si="18"/>
        <v>0</v>
      </c>
      <c r="Y18" s="115">
        <f t="shared" si="4"/>
        <v>0</v>
      </c>
      <c r="Z18" s="116">
        <f t="shared" si="5"/>
        <v>0</v>
      </c>
      <c r="AA18" s="97">
        <f t="shared" si="19"/>
        <v>0</v>
      </c>
      <c r="AB18" s="9"/>
      <c r="AC18" s="9">
        <f>GFA!AB19</f>
        <v>0</v>
      </c>
      <c r="AD18" s="9">
        <f>GFA!AD19</f>
        <v>0</v>
      </c>
      <c r="AE18" s="97">
        <f t="shared" si="20"/>
        <v>0</v>
      </c>
      <c r="AF18" s="9">
        <f t="shared" si="21"/>
        <v>0</v>
      </c>
      <c r="AG18" s="115">
        <f t="shared" si="6"/>
        <v>0</v>
      </c>
      <c r="AH18" s="116">
        <f t="shared" si="7"/>
        <v>0</v>
      </c>
      <c r="AI18" s="97">
        <f t="shared" si="22"/>
        <v>0</v>
      </c>
      <c r="AJ18" s="9"/>
      <c r="AK18" s="9">
        <f>GFA!AJ19</f>
        <v>0</v>
      </c>
      <c r="AL18" s="9">
        <f>GFA!AL19</f>
        <v>0</v>
      </c>
      <c r="AM18" s="97">
        <f t="shared" si="23"/>
        <v>0</v>
      </c>
      <c r="AN18" s="9">
        <f t="shared" si="24"/>
        <v>0</v>
      </c>
      <c r="AO18" s="115">
        <f t="shared" si="8"/>
        <v>0</v>
      </c>
      <c r="AP18" s="116">
        <f t="shared" si="9"/>
        <v>0</v>
      </c>
      <c r="AQ18" s="97">
        <f t="shared" si="25"/>
        <v>0</v>
      </c>
      <c r="AR18" s="9"/>
      <c r="AS18" s="9">
        <f>GFA!AR19</f>
        <v>0</v>
      </c>
      <c r="AT18" s="9">
        <f>GFA!AT19</f>
        <v>0</v>
      </c>
      <c r="AU18" s="97">
        <f t="shared" si="26"/>
        <v>0</v>
      </c>
      <c r="AV18" s="9">
        <f t="shared" si="27"/>
        <v>0</v>
      </c>
      <c r="AW18" s="115">
        <f t="shared" si="10"/>
        <v>0</v>
      </c>
      <c r="AX18" s="116">
        <f t="shared" si="11"/>
        <v>0</v>
      </c>
      <c r="AY18" s="97">
        <f t="shared" si="28"/>
        <v>0</v>
      </c>
    </row>
    <row r="19" spans="2:51" x14ac:dyDescent="0.35">
      <c r="B19" s="7" t="s">
        <v>146</v>
      </c>
      <c r="C19" s="14">
        <v>0.15</v>
      </c>
      <c r="D19" s="9"/>
      <c r="E19" s="9">
        <f>GFA!D20</f>
        <v>0</v>
      </c>
      <c r="F19" s="9">
        <f>GFA!F20</f>
        <v>0</v>
      </c>
      <c r="G19" s="97">
        <f t="shared" si="12"/>
        <v>0</v>
      </c>
      <c r="H19" s="9">
        <v>0</v>
      </c>
      <c r="I19" s="115">
        <f t="shared" si="0"/>
        <v>0</v>
      </c>
      <c r="J19" s="116">
        <f t="shared" si="1"/>
        <v>0</v>
      </c>
      <c r="K19" s="97">
        <f t="shared" si="13"/>
        <v>0</v>
      </c>
      <c r="L19" s="9"/>
      <c r="M19" s="9">
        <f>GFA!L20</f>
        <v>0</v>
      </c>
      <c r="N19" s="9">
        <f>GFA!N20</f>
        <v>0</v>
      </c>
      <c r="O19" s="97">
        <f t="shared" si="14"/>
        <v>0</v>
      </c>
      <c r="P19" s="9">
        <f t="shared" si="15"/>
        <v>0</v>
      </c>
      <c r="Q19" s="115">
        <f t="shared" si="2"/>
        <v>0</v>
      </c>
      <c r="R19" s="116">
        <f t="shared" si="3"/>
        <v>0</v>
      </c>
      <c r="S19" s="97">
        <f t="shared" si="16"/>
        <v>0</v>
      </c>
      <c r="T19" s="9"/>
      <c r="U19" s="9">
        <f>GFA!T20</f>
        <v>0</v>
      </c>
      <c r="V19" s="9">
        <f>GFA!V20</f>
        <v>0</v>
      </c>
      <c r="W19" s="97">
        <f t="shared" si="17"/>
        <v>0</v>
      </c>
      <c r="X19" s="9">
        <f t="shared" si="18"/>
        <v>0</v>
      </c>
      <c r="Y19" s="115">
        <f t="shared" si="4"/>
        <v>0</v>
      </c>
      <c r="Z19" s="116">
        <f t="shared" si="5"/>
        <v>0</v>
      </c>
      <c r="AA19" s="97">
        <f t="shared" si="19"/>
        <v>0</v>
      </c>
      <c r="AB19" s="9"/>
      <c r="AC19" s="9">
        <f>GFA!AB20</f>
        <v>0</v>
      </c>
      <c r="AD19" s="9">
        <f>GFA!AD20</f>
        <v>0</v>
      </c>
      <c r="AE19" s="97">
        <f t="shared" si="20"/>
        <v>0</v>
      </c>
      <c r="AF19" s="9">
        <f t="shared" si="21"/>
        <v>0</v>
      </c>
      <c r="AG19" s="115">
        <f t="shared" si="6"/>
        <v>0</v>
      </c>
      <c r="AH19" s="116">
        <f t="shared" si="7"/>
        <v>0</v>
      </c>
      <c r="AI19" s="97">
        <f t="shared" si="22"/>
        <v>0</v>
      </c>
      <c r="AJ19" s="9"/>
      <c r="AK19" s="9">
        <f>GFA!AJ20</f>
        <v>0</v>
      </c>
      <c r="AL19" s="9">
        <f>GFA!AL20</f>
        <v>0</v>
      </c>
      <c r="AM19" s="97">
        <f t="shared" si="23"/>
        <v>0</v>
      </c>
      <c r="AN19" s="9">
        <f t="shared" si="24"/>
        <v>0</v>
      </c>
      <c r="AO19" s="115">
        <f t="shared" si="8"/>
        <v>0</v>
      </c>
      <c r="AP19" s="116">
        <f t="shared" si="9"/>
        <v>0</v>
      </c>
      <c r="AQ19" s="97">
        <f t="shared" si="25"/>
        <v>0</v>
      </c>
      <c r="AR19" s="9"/>
      <c r="AS19" s="9">
        <f>GFA!AR20</f>
        <v>0</v>
      </c>
      <c r="AT19" s="9">
        <f>GFA!AT20</f>
        <v>0</v>
      </c>
      <c r="AU19" s="97">
        <f t="shared" si="26"/>
        <v>0</v>
      </c>
      <c r="AV19" s="9">
        <f t="shared" si="27"/>
        <v>0</v>
      </c>
      <c r="AW19" s="115">
        <f t="shared" si="10"/>
        <v>0</v>
      </c>
      <c r="AX19" s="116">
        <f t="shared" si="11"/>
        <v>0</v>
      </c>
      <c r="AY19" s="97">
        <f t="shared" si="28"/>
        <v>0</v>
      </c>
    </row>
    <row r="20" spans="2:51" x14ac:dyDescent="0.35">
      <c r="B20" s="7" t="s">
        <v>147</v>
      </c>
      <c r="C20" s="14">
        <v>0.3</v>
      </c>
      <c r="D20" s="9"/>
      <c r="E20" s="9">
        <f>GFA!D21</f>
        <v>0</v>
      </c>
      <c r="F20" s="9">
        <f>GFA!F21</f>
        <v>0</v>
      </c>
      <c r="G20" s="97">
        <f t="shared" si="12"/>
        <v>0</v>
      </c>
      <c r="H20" s="9">
        <v>0</v>
      </c>
      <c r="I20" s="115">
        <f t="shared" si="0"/>
        <v>0</v>
      </c>
      <c r="J20" s="116">
        <f t="shared" si="1"/>
        <v>0</v>
      </c>
      <c r="K20" s="97">
        <f t="shared" si="13"/>
        <v>0</v>
      </c>
      <c r="L20" s="9"/>
      <c r="M20" s="9">
        <f>GFA!L21</f>
        <v>0</v>
      </c>
      <c r="N20" s="9">
        <f>GFA!N21</f>
        <v>0</v>
      </c>
      <c r="O20" s="97">
        <f t="shared" si="14"/>
        <v>0</v>
      </c>
      <c r="P20" s="9">
        <f t="shared" si="15"/>
        <v>0</v>
      </c>
      <c r="Q20" s="115">
        <f t="shared" si="2"/>
        <v>0</v>
      </c>
      <c r="R20" s="116">
        <f t="shared" si="3"/>
        <v>0</v>
      </c>
      <c r="S20" s="97">
        <f t="shared" si="16"/>
        <v>0</v>
      </c>
      <c r="T20" s="9"/>
      <c r="U20" s="9">
        <f>GFA!T21</f>
        <v>0</v>
      </c>
      <c r="V20" s="9">
        <f>GFA!V21</f>
        <v>0</v>
      </c>
      <c r="W20" s="97">
        <f t="shared" si="17"/>
        <v>0</v>
      </c>
      <c r="X20" s="9">
        <f t="shared" si="18"/>
        <v>0</v>
      </c>
      <c r="Y20" s="115">
        <f t="shared" si="4"/>
        <v>0</v>
      </c>
      <c r="Z20" s="116">
        <f t="shared" si="5"/>
        <v>0</v>
      </c>
      <c r="AA20" s="97">
        <f t="shared" si="19"/>
        <v>0</v>
      </c>
      <c r="AB20" s="9"/>
      <c r="AC20" s="9">
        <f>GFA!AB21</f>
        <v>0</v>
      </c>
      <c r="AD20" s="9">
        <f>GFA!AD21</f>
        <v>0</v>
      </c>
      <c r="AE20" s="97">
        <f t="shared" si="20"/>
        <v>0</v>
      </c>
      <c r="AF20" s="9">
        <f t="shared" si="21"/>
        <v>0</v>
      </c>
      <c r="AG20" s="115">
        <f t="shared" si="6"/>
        <v>0</v>
      </c>
      <c r="AH20" s="116">
        <f t="shared" si="7"/>
        <v>0</v>
      </c>
      <c r="AI20" s="97">
        <f t="shared" si="22"/>
        <v>0</v>
      </c>
      <c r="AJ20" s="9"/>
      <c r="AK20" s="9">
        <f>GFA!AJ21</f>
        <v>0</v>
      </c>
      <c r="AL20" s="9">
        <f>GFA!AL21</f>
        <v>0</v>
      </c>
      <c r="AM20" s="97">
        <f t="shared" si="23"/>
        <v>0</v>
      </c>
      <c r="AN20" s="9">
        <f t="shared" si="24"/>
        <v>0</v>
      </c>
      <c r="AO20" s="115">
        <f t="shared" si="8"/>
        <v>0</v>
      </c>
      <c r="AP20" s="116">
        <f t="shared" si="9"/>
        <v>0</v>
      </c>
      <c r="AQ20" s="97">
        <f t="shared" si="25"/>
        <v>0</v>
      </c>
      <c r="AR20" s="9"/>
      <c r="AS20" s="9">
        <f>GFA!AR21</f>
        <v>0</v>
      </c>
      <c r="AT20" s="9">
        <f>GFA!AT21</f>
        <v>0</v>
      </c>
      <c r="AU20" s="97">
        <f t="shared" si="26"/>
        <v>0</v>
      </c>
      <c r="AV20" s="9">
        <f t="shared" si="27"/>
        <v>0</v>
      </c>
      <c r="AW20" s="115">
        <f t="shared" si="10"/>
        <v>0</v>
      </c>
      <c r="AX20" s="116">
        <f t="shared" si="11"/>
        <v>0</v>
      </c>
      <c r="AY20" s="97">
        <f t="shared" si="28"/>
        <v>0</v>
      </c>
    </row>
    <row r="21" spans="2:51" x14ac:dyDescent="0.35">
      <c r="B21" s="7" t="s">
        <v>148</v>
      </c>
      <c r="C21" s="14">
        <v>0.3</v>
      </c>
      <c r="D21" s="9"/>
      <c r="E21" s="9">
        <f>GFA!D22</f>
        <v>0</v>
      </c>
      <c r="F21" s="9">
        <f>GFA!F22</f>
        <v>0</v>
      </c>
      <c r="G21" s="97">
        <f t="shared" si="12"/>
        <v>0</v>
      </c>
      <c r="H21" s="9">
        <v>0</v>
      </c>
      <c r="I21" s="115">
        <f t="shared" si="0"/>
        <v>0</v>
      </c>
      <c r="J21" s="116">
        <f t="shared" si="1"/>
        <v>0</v>
      </c>
      <c r="K21" s="97">
        <f t="shared" si="13"/>
        <v>0</v>
      </c>
      <c r="L21" s="9"/>
      <c r="M21" s="9">
        <f>GFA!L22</f>
        <v>0</v>
      </c>
      <c r="N21" s="9">
        <f>GFA!N22</f>
        <v>0</v>
      </c>
      <c r="O21" s="97">
        <f t="shared" si="14"/>
        <v>0</v>
      </c>
      <c r="P21" s="9">
        <f t="shared" si="15"/>
        <v>0</v>
      </c>
      <c r="Q21" s="115">
        <f t="shared" si="2"/>
        <v>0</v>
      </c>
      <c r="R21" s="116">
        <f t="shared" si="3"/>
        <v>0</v>
      </c>
      <c r="S21" s="97">
        <f t="shared" si="16"/>
        <v>0</v>
      </c>
      <c r="T21" s="9"/>
      <c r="U21" s="9">
        <f>GFA!T22</f>
        <v>0</v>
      </c>
      <c r="V21" s="9">
        <f>GFA!V22</f>
        <v>0</v>
      </c>
      <c r="W21" s="97">
        <f t="shared" si="17"/>
        <v>0</v>
      </c>
      <c r="X21" s="9">
        <f t="shared" si="18"/>
        <v>0</v>
      </c>
      <c r="Y21" s="115">
        <f t="shared" si="4"/>
        <v>0</v>
      </c>
      <c r="Z21" s="116">
        <f t="shared" si="5"/>
        <v>0</v>
      </c>
      <c r="AA21" s="97">
        <f t="shared" si="19"/>
        <v>0</v>
      </c>
      <c r="AB21" s="9"/>
      <c r="AC21" s="9">
        <f>GFA!AB22</f>
        <v>0</v>
      </c>
      <c r="AD21" s="9">
        <f>GFA!AD22</f>
        <v>0</v>
      </c>
      <c r="AE21" s="97">
        <f t="shared" si="20"/>
        <v>0</v>
      </c>
      <c r="AF21" s="9">
        <f t="shared" si="21"/>
        <v>0</v>
      </c>
      <c r="AG21" s="115">
        <f t="shared" si="6"/>
        <v>0</v>
      </c>
      <c r="AH21" s="116">
        <f t="shared" si="7"/>
        <v>0</v>
      </c>
      <c r="AI21" s="97">
        <f t="shared" si="22"/>
        <v>0</v>
      </c>
      <c r="AJ21" s="9"/>
      <c r="AK21" s="9">
        <f>GFA!AJ22</f>
        <v>0</v>
      </c>
      <c r="AL21" s="9">
        <f>GFA!AL22</f>
        <v>0</v>
      </c>
      <c r="AM21" s="97">
        <f t="shared" si="23"/>
        <v>0</v>
      </c>
      <c r="AN21" s="9">
        <f t="shared" si="24"/>
        <v>0</v>
      </c>
      <c r="AO21" s="115">
        <f t="shared" si="8"/>
        <v>0</v>
      </c>
      <c r="AP21" s="116">
        <f t="shared" si="9"/>
        <v>0</v>
      </c>
      <c r="AQ21" s="97">
        <f t="shared" si="25"/>
        <v>0</v>
      </c>
      <c r="AR21" s="9"/>
      <c r="AS21" s="9">
        <f>GFA!AR22</f>
        <v>0</v>
      </c>
      <c r="AT21" s="9">
        <f>GFA!AT22</f>
        <v>0</v>
      </c>
      <c r="AU21" s="97">
        <f t="shared" si="26"/>
        <v>0</v>
      </c>
      <c r="AV21" s="9">
        <f t="shared" si="27"/>
        <v>0</v>
      </c>
      <c r="AW21" s="115">
        <f t="shared" si="10"/>
        <v>0</v>
      </c>
      <c r="AX21" s="116">
        <f t="shared" si="11"/>
        <v>0</v>
      </c>
      <c r="AY21" s="97">
        <f t="shared" si="28"/>
        <v>0</v>
      </c>
    </row>
    <row r="22" spans="2:51" ht="31" x14ac:dyDescent="0.35">
      <c r="B22" s="84" t="s">
        <v>149</v>
      </c>
      <c r="C22" s="117">
        <v>3.3399999999999999E-2</v>
      </c>
      <c r="D22" s="9"/>
      <c r="E22" s="9">
        <f>GFA!D23</f>
        <v>0</v>
      </c>
      <c r="F22" s="9">
        <f>GFA!F23</f>
        <v>0</v>
      </c>
      <c r="G22" s="97">
        <f t="shared" si="12"/>
        <v>0</v>
      </c>
      <c r="H22" s="9">
        <v>0</v>
      </c>
      <c r="I22" s="115">
        <f t="shared" si="0"/>
        <v>0</v>
      </c>
      <c r="J22" s="116">
        <f t="shared" si="1"/>
        <v>0</v>
      </c>
      <c r="K22" s="97">
        <f t="shared" si="13"/>
        <v>0</v>
      </c>
      <c r="L22" s="9"/>
      <c r="M22" s="9">
        <f>GFA!L23</f>
        <v>0</v>
      </c>
      <c r="N22" s="9">
        <f>GFA!N23</f>
        <v>0</v>
      </c>
      <c r="O22" s="97">
        <f t="shared" si="14"/>
        <v>0</v>
      </c>
      <c r="P22" s="9">
        <f t="shared" si="15"/>
        <v>0</v>
      </c>
      <c r="Q22" s="115">
        <f t="shared" si="2"/>
        <v>0</v>
      </c>
      <c r="R22" s="116">
        <f t="shared" si="3"/>
        <v>0</v>
      </c>
      <c r="S22" s="97">
        <f t="shared" si="16"/>
        <v>0</v>
      </c>
      <c r="T22" s="9"/>
      <c r="U22" s="9">
        <f>GFA!T23</f>
        <v>0</v>
      </c>
      <c r="V22" s="9">
        <f>GFA!V23</f>
        <v>0</v>
      </c>
      <c r="W22" s="97">
        <f t="shared" si="17"/>
        <v>0</v>
      </c>
      <c r="X22" s="9">
        <f t="shared" si="18"/>
        <v>0</v>
      </c>
      <c r="Y22" s="115">
        <f t="shared" si="4"/>
        <v>0</v>
      </c>
      <c r="Z22" s="116">
        <f t="shared" si="5"/>
        <v>0</v>
      </c>
      <c r="AA22" s="97">
        <f t="shared" si="19"/>
        <v>0</v>
      </c>
      <c r="AB22" s="9"/>
      <c r="AC22" s="9">
        <f>GFA!AB23</f>
        <v>0</v>
      </c>
      <c r="AD22" s="9">
        <f>GFA!AD23</f>
        <v>0</v>
      </c>
      <c r="AE22" s="97">
        <f t="shared" si="20"/>
        <v>0</v>
      </c>
      <c r="AF22" s="9">
        <f t="shared" si="21"/>
        <v>0</v>
      </c>
      <c r="AG22" s="115">
        <f t="shared" si="6"/>
        <v>0</v>
      </c>
      <c r="AH22" s="116">
        <f t="shared" si="7"/>
        <v>0</v>
      </c>
      <c r="AI22" s="97">
        <f t="shared" si="22"/>
        <v>0</v>
      </c>
      <c r="AJ22" s="9"/>
      <c r="AK22" s="9">
        <f>GFA!AJ23</f>
        <v>0</v>
      </c>
      <c r="AL22" s="9">
        <f>GFA!AL23</f>
        <v>0</v>
      </c>
      <c r="AM22" s="97">
        <f t="shared" si="23"/>
        <v>0</v>
      </c>
      <c r="AN22" s="9">
        <f t="shared" si="24"/>
        <v>0</v>
      </c>
      <c r="AO22" s="115">
        <f t="shared" si="8"/>
        <v>0</v>
      </c>
      <c r="AP22" s="116">
        <f t="shared" si="9"/>
        <v>0</v>
      </c>
      <c r="AQ22" s="97">
        <f t="shared" si="25"/>
        <v>0</v>
      </c>
      <c r="AR22" s="9"/>
      <c r="AS22" s="9">
        <f>GFA!AR23</f>
        <v>0</v>
      </c>
      <c r="AT22" s="9">
        <f>GFA!AT23</f>
        <v>0</v>
      </c>
      <c r="AU22" s="97">
        <f t="shared" si="26"/>
        <v>0</v>
      </c>
      <c r="AV22" s="9">
        <f t="shared" si="27"/>
        <v>0</v>
      </c>
      <c r="AW22" s="115">
        <f t="shared" si="10"/>
        <v>0</v>
      </c>
      <c r="AX22" s="116">
        <f t="shared" si="11"/>
        <v>0</v>
      </c>
      <c r="AY22" s="97">
        <f t="shared" si="28"/>
        <v>0</v>
      </c>
    </row>
    <row r="23" spans="2:51" x14ac:dyDescent="0.35">
      <c r="B23" s="12" t="s">
        <v>27</v>
      </c>
      <c r="C23" s="12"/>
      <c r="D23" s="13"/>
      <c r="E23" s="13">
        <f t="shared" ref="E23:AY23" si="29">SUM(E6:E22)</f>
        <v>458.65344351252071</v>
      </c>
      <c r="F23" s="13">
        <f t="shared" si="29"/>
        <v>3.71</v>
      </c>
      <c r="G23" s="13">
        <f t="shared" si="29"/>
        <v>413.06136625126857</v>
      </c>
      <c r="H23" s="13">
        <f t="shared" si="29"/>
        <v>339.68143622907564</v>
      </c>
      <c r="I23" s="13"/>
      <c r="J23" s="13">
        <f t="shared" si="29"/>
        <v>73.770974039793259</v>
      </c>
      <c r="K23" s="13">
        <f t="shared" si="29"/>
        <v>15.733970572207976</v>
      </c>
      <c r="L23" s="13"/>
      <c r="M23" s="13">
        <f t="shared" si="29"/>
        <v>458.0331644125207</v>
      </c>
      <c r="N23" s="13">
        <f t="shared" si="29"/>
        <v>6.17</v>
      </c>
      <c r="O23" s="13">
        <f t="shared" si="29"/>
        <v>414.71711506126866</v>
      </c>
      <c r="P23" s="13">
        <f t="shared" si="29"/>
        <v>355.4154068012835</v>
      </c>
      <c r="Q23" s="13"/>
      <c r="R23" s="13">
        <f t="shared" si="29"/>
        <v>59.784024877585274</v>
      </c>
      <c r="S23" s="13">
        <f t="shared" si="29"/>
        <v>8.6308075661904162</v>
      </c>
      <c r="T23" s="13"/>
      <c r="U23" s="13">
        <f t="shared" si="29"/>
        <v>464.20316441252072</v>
      </c>
      <c r="V23" s="13">
        <f t="shared" si="29"/>
        <v>1.8</v>
      </c>
      <c r="W23" s="13">
        <f t="shared" si="29"/>
        <v>416.33711506126861</v>
      </c>
      <c r="X23" s="13">
        <f t="shared" si="29"/>
        <v>364.04621436747397</v>
      </c>
      <c r="Y23" s="13"/>
      <c r="Z23" s="13">
        <f t="shared" si="29"/>
        <v>52.773217311394845</v>
      </c>
      <c r="AA23" s="13">
        <f t="shared" si="29"/>
        <v>8.7992651782482092</v>
      </c>
      <c r="AB23" s="13"/>
      <c r="AC23" s="13">
        <f t="shared" si="29"/>
        <v>465.85198681252064</v>
      </c>
      <c r="AD23" s="13">
        <f t="shared" si="29"/>
        <v>0</v>
      </c>
      <c r="AE23" s="13">
        <f t="shared" si="29"/>
        <v>416.20105522126869</v>
      </c>
      <c r="AF23" s="13">
        <f t="shared" si="29"/>
        <v>372.84547954572218</v>
      </c>
      <c r="AG23" s="13"/>
      <c r="AH23" s="13">
        <f t="shared" si="29"/>
        <v>43.837892293146631</v>
      </c>
      <c r="AI23" s="13">
        <f t="shared" si="29"/>
        <v>8.9107337894947563</v>
      </c>
      <c r="AJ23" s="13"/>
      <c r="AK23" s="13">
        <f t="shared" si="29"/>
        <v>465.85198681252064</v>
      </c>
      <c r="AL23" s="13">
        <f t="shared" si="29"/>
        <v>5.54</v>
      </c>
      <c r="AM23" s="13">
        <f t="shared" si="29"/>
        <v>421.18705522126868</v>
      </c>
      <c r="AN23" s="13">
        <f t="shared" si="29"/>
        <v>381.7562133352169</v>
      </c>
      <c r="AO23" s="13"/>
      <c r="AP23" s="13">
        <f t="shared" si="29"/>
        <v>39.913158503651935</v>
      </c>
      <c r="AQ23" s="13">
        <f t="shared" si="29"/>
        <v>18.943083996966397</v>
      </c>
      <c r="AR23" s="13"/>
      <c r="AS23" s="13">
        <f t="shared" si="29"/>
        <v>471.39198681252066</v>
      </c>
      <c r="AT23" s="13">
        <f t="shared" si="29"/>
        <v>0</v>
      </c>
      <c r="AU23" s="13">
        <f t="shared" si="29"/>
        <v>421.18705522126868</v>
      </c>
      <c r="AV23" s="13">
        <f t="shared" si="29"/>
        <v>400.69929733218333</v>
      </c>
      <c r="AW23" s="13"/>
      <c r="AX23" s="13">
        <f t="shared" si="29"/>
        <v>20.970074506685535</v>
      </c>
      <c r="AY23" s="13">
        <f t="shared" si="29"/>
        <v>18.943083996966401</v>
      </c>
    </row>
    <row r="24" spans="2:51" x14ac:dyDescent="0.35">
      <c r="B24" s="70" t="s">
        <v>150</v>
      </c>
      <c r="C24" s="70"/>
      <c r="D24" s="118">
        <v>11.3</v>
      </c>
      <c r="E24" s="7"/>
      <c r="F24" s="7"/>
      <c r="G24" s="7"/>
      <c r="H24" s="7"/>
      <c r="I24" s="7"/>
      <c r="J24" s="7"/>
      <c r="K24" s="7"/>
      <c r="L24" s="118">
        <f>D24-1</f>
        <v>10.3</v>
      </c>
      <c r="M24" s="7"/>
      <c r="N24" s="7"/>
      <c r="O24" s="7"/>
      <c r="P24" s="7"/>
      <c r="Q24" s="7"/>
      <c r="R24" s="7"/>
      <c r="S24" s="7"/>
      <c r="T24" s="118">
        <f>L24-1</f>
        <v>9.3000000000000007</v>
      </c>
      <c r="U24" s="7"/>
      <c r="V24" s="7"/>
      <c r="W24" s="7"/>
      <c r="X24" s="7"/>
      <c r="Y24" s="7"/>
      <c r="Z24" s="7"/>
      <c r="AA24" s="7"/>
      <c r="AB24" s="118">
        <f>T24-1</f>
        <v>8.3000000000000007</v>
      </c>
      <c r="AC24" s="7"/>
      <c r="AD24" s="7"/>
      <c r="AE24" s="7"/>
      <c r="AF24" s="7"/>
      <c r="AG24" s="7"/>
      <c r="AH24" s="7"/>
      <c r="AI24" s="7"/>
      <c r="AJ24" s="118">
        <f>AB24-1</f>
        <v>7.3000000000000007</v>
      </c>
      <c r="AK24" s="7"/>
      <c r="AL24" s="7"/>
      <c r="AM24" s="7"/>
      <c r="AN24" s="7"/>
      <c r="AO24" s="7"/>
      <c r="AP24" s="7"/>
      <c r="AQ24" s="7"/>
      <c r="AR24" s="118">
        <f>AJ24-1</f>
        <v>6.3000000000000007</v>
      </c>
      <c r="AS24" s="9"/>
      <c r="AT24" s="9"/>
      <c r="AU24" s="9"/>
      <c r="AV24" s="9"/>
      <c r="AW24" s="9"/>
      <c r="AX24" s="9"/>
      <c r="AY24" s="9"/>
    </row>
    <row r="25" spans="2:51" x14ac:dyDescent="0.35">
      <c r="B25" s="7" t="s">
        <v>133</v>
      </c>
      <c r="C25" s="14">
        <v>0</v>
      </c>
      <c r="D25" s="9"/>
      <c r="E25" s="9">
        <f>GFA!D26</f>
        <v>37.686625499999998</v>
      </c>
      <c r="F25" s="9">
        <f>GFA!F26</f>
        <v>0</v>
      </c>
      <c r="G25" s="97">
        <f t="shared" ref="G25:G41" si="30">90%*(E25+F25)</f>
        <v>33.917962949999996</v>
      </c>
      <c r="H25" s="9">
        <v>0</v>
      </c>
      <c r="I25" s="115">
        <f t="shared" ref="I25:I41" si="31">IFERROR(H25/G25,0)</f>
        <v>0</v>
      </c>
      <c r="J25" s="116">
        <f t="shared" ref="J25:J41" si="32">MAX(G25-H25,0)</f>
        <v>33.917962949999996</v>
      </c>
      <c r="K25" s="97">
        <f>IF(I25&lt;70%,MIN(J25,(E25+F25/2)*$C25),J25/D$24)</f>
        <v>0</v>
      </c>
      <c r="L25" s="9"/>
      <c r="M25" s="9">
        <f>GFA!L26</f>
        <v>37.686625499999998</v>
      </c>
      <c r="N25" s="9">
        <f>GFA!N26</f>
        <v>0</v>
      </c>
      <c r="O25" s="97">
        <f t="shared" ref="O25:O41" si="33">90%*(M25+N25)</f>
        <v>33.917962949999996</v>
      </c>
      <c r="P25" s="9">
        <f t="shared" ref="P25:P41" si="34">H25+K25</f>
        <v>0</v>
      </c>
      <c r="Q25" s="115">
        <f t="shared" ref="Q25:Q41" si="35">IFERROR(P25/O25,0)</f>
        <v>0</v>
      </c>
      <c r="R25" s="116">
        <f t="shared" ref="R25:R41" si="36">MAX(O25-P25,0)</f>
        <v>33.917962949999996</v>
      </c>
      <c r="S25" s="97">
        <f>IF(Q25&lt;70%,MIN(R25,(M25+N25/2)*$C25),R25/L$24)</f>
        <v>0</v>
      </c>
      <c r="T25" s="9"/>
      <c r="U25" s="9">
        <f>GFA!T26</f>
        <v>37.686625499999998</v>
      </c>
      <c r="V25" s="9">
        <f>GFA!V26</f>
        <v>13.135062401156308</v>
      </c>
      <c r="W25" s="97">
        <f t="shared" ref="W25:W41" si="37">90%*(U25+V25)</f>
        <v>45.739519111040678</v>
      </c>
      <c r="X25" s="9">
        <f t="shared" ref="X25:X41" si="38">P25+S25</f>
        <v>0</v>
      </c>
      <c r="Y25" s="115">
        <f t="shared" ref="Y25:Y41" si="39">IFERROR(X25/W25,0)</f>
        <v>0</v>
      </c>
      <c r="Z25" s="116">
        <f t="shared" ref="Z25:Z41" si="40">MAX(W25-X25,0)</f>
        <v>45.739519111040678</v>
      </c>
      <c r="AA25" s="97">
        <f>IF(Y25&lt;70%,MIN(Z25,(U25+V25/2)*$C25),Z25/T$24)</f>
        <v>0</v>
      </c>
      <c r="AB25" s="9"/>
      <c r="AC25" s="9">
        <f>GFA!AB26</f>
        <v>50.821687901156309</v>
      </c>
      <c r="AD25" s="9">
        <f>GFA!AD26</f>
        <v>0</v>
      </c>
      <c r="AE25" s="97">
        <f t="shared" ref="AE25:AE41" si="41">90%*(AC25+AD25)</f>
        <v>45.739519111040678</v>
      </c>
      <c r="AF25" s="9">
        <f t="shared" ref="AF25:AF41" si="42">X25+AA25</f>
        <v>0</v>
      </c>
      <c r="AG25" s="115">
        <f t="shared" ref="AG25:AG41" si="43">IFERROR(AF25/AE25,0)</f>
        <v>0</v>
      </c>
      <c r="AH25" s="116">
        <f t="shared" ref="AH25:AH41" si="44">MAX(AE25-AF25,0)</f>
        <v>45.739519111040678</v>
      </c>
      <c r="AI25" s="97">
        <f>IF(AG25&lt;70%,MIN(AH25,(AC25+AD25/2)*$C25),AH25/AB$24)</f>
        <v>0</v>
      </c>
      <c r="AJ25" s="9"/>
      <c r="AK25" s="9">
        <f>GFA!AJ26</f>
        <v>50.821687901156309</v>
      </c>
      <c r="AL25" s="9">
        <f>GFA!AL26</f>
        <v>0</v>
      </c>
      <c r="AM25" s="97">
        <f t="shared" ref="AM25:AM41" si="45">90%*(AK25+AL25)</f>
        <v>45.739519111040678</v>
      </c>
      <c r="AN25" s="9">
        <f t="shared" ref="AN25:AN41" si="46">AF25+AI25</f>
        <v>0</v>
      </c>
      <c r="AO25" s="115">
        <f t="shared" ref="AO25:AO41" si="47">IFERROR(AN25/AM25,0)</f>
        <v>0</v>
      </c>
      <c r="AP25" s="116">
        <f t="shared" ref="AP25:AP41" si="48">MAX(AM25-AN25,0)</f>
        <v>45.739519111040678</v>
      </c>
      <c r="AQ25" s="97">
        <f>IF(AO25&lt;70%,MIN(AP25,(AK25+AL25/2)*$C25),AP25/AJ$24)</f>
        <v>0</v>
      </c>
      <c r="AR25" s="9"/>
      <c r="AS25" s="9">
        <f>GFA!AR26</f>
        <v>50.821687901156309</v>
      </c>
      <c r="AT25" s="9">
        <f>GFA!AT26</f>
        <v>0</v>
      </c>
      <c r="AU25" s="97">
        <f t="shared" ref="AU25:AU41" si="49">90%*(AS25+AT25)</f>
        <v>45.739519111040678</v>
      </c>
      <c r="AV25" s="9">
        <f t="shared" ref="AV25:AV41" si="50">AN25+AQ25</f>
        <v>0</v>
      </c>
      <c r="AW25" s="115">
        <f t="shared" ref="AW25:AW41" si="51">IFERROR(AV25/AU25,0)</f>
        <v>0</v>
      </c>
      <c r="AX25" s="116">
        <f t="shared" ref="AX25:AX41" si="52">MAX(AU25-AV25,0)</f>
        <v>45.739519111040678</v>
      </c>
      <c r="AY25" s="97">
        <f>IF(AW25&lt;70%,MIN(AX25,(AS25+AT25/2)*$C25),AX25/AR$24)</f>
        <v>0</v>
      </c>
    </row>
    <row r="26" spans="2:51" x14ac:dyDescent="0.35">
      <c r="B26" s="7" t="s">
        <v>134</v>
      </c>
      <c r="C26" s="14">
        <v>3.3399999999999999E-2</v>
      </c>
      <c r="D26" s="9"/>
      <c r="E26" s="9">
        <f>GFA!D27</f>
        <v>355.21058824799724</v>
      </c>
      <c r="F26" s="9">
        <f>GFA!F27</f>
        <v>0</v>
      </c>
      <c r="G26" s="97">
        <f t="shared" si="30"/>
        <v>319.68952942319754</v>
      </c>
      <c r="H26" s="9">
        <v>319.56953131801396</v>
      </c>
      <c r="I26" s="115">
        <f t="shared" si="31"/>
        <v>0.99962464174100385</v>
      </c>
      <c r="J26" s="116">
        <f t="shared" si="32"/>
        <v>0.11999810518358345</v>
      </c>
      <c r="K26" s="97">
        <f t="shared" ref="K26:K41" si="53">IF(I26&lt;70%,MIN(J26,(E26+F26/2)*$C26),J26/D$24)</f>
        <v>1.061930134367995E-2</v>
      </c>
      <c r="L26" s="9"/>
      <c r="M26" s="9">
        <f>GFA!L27</f>
        <v>355.21058824799724</v>
      </c>
      <c r="N26" s="9">
        <f>GFA!N27</f>
        <v>40.191805931713034</v>
      </c>
      <c r="O26" s="97">
        <f t="shared" si="33"/>
        <v>355.86215476173925</v>
      </c>
      <c r="P26" s="9">
        <f t="shared" si="34"/>
        <v>319.58015061935765</v>
      </c>
      <c r="Q26" s="115">
        <f t="shared" si="35"/>
        <v>0.89804478038224234</v>
      </c>
      <c r="R26" s="116">
        <f t="shared" si="36"/>
        <v>36.282004142381595</v>
      </c>
      <c r="S26" s="97">
        <f t="shared" ref="S26:S41" si="54">IF(Q26&lt;70%,MIN(R26,(M26+N26/2)*$C26),R26/L$24)</f>
        <v>3.5225246740176304</v>
      </c>
      <c r="T26" s="9"/>
      <c r="U26" s="9">
        <f>GFA!T27</f>
        <v>395.40239417971026</v>
      </c>
      <c r="V26" s="9">
        <f>GFA!V27</f>
        <v>39.954816591629914</v>
      </c>
      <c r="W26" s="97">
        <f t="shared" si="37"/>
        <v>391.82148969420621</v>
      </c>
      <c r="X26" s="9">
        <f t="shared" si="38"/>
        <v>323.10267529337528</v>
      </c>
      <c r="Y26" s="115">
        <f t="shared" si="39"/>
        <v>0.82461703554222632</v>
      </c>
      <c r="Z26" s="116">
        <f t="shared" si="40"/>
        <v>68.718814400830922</v>
      </c>
      <c r="AA26" s="97">
        <f t="shared" ref="AA26:AA41" si="55">IF(Y26&lt;70%,MIN(Z26,(U26+V26/2)*$C26),Z26/T$24)</f>
        <v>7.3891198280463355</v>
      </c>
      <c r="AB26" s="9"/>
      <c r="AC26" s="9">
        <f>GFA!AB27</f>
        <v>435.35721077134019</v>
      </c>
      <c r="AD26" s="9">
        <f>GFA!AD27</f>
        <v>0</v>
      </c>
      <c r="AE26" s="97">
        <f t="shared" si="41"/>
        <v>391.82148969420621</v>
      </c>
      <c r="AF26" s="9">
        <f t="shared" si="42"/>
        <v>330.4917951214216</v>
      </c>
      <c r="AG26" s="115">
        <f t="shared" si="43"/>
        <v>0.84347541881725563</v>
      </c>
      <c r="AH26" s="116">
        <f t="shared" si="44"/>
        <v>61.329694572784604</v>
      </c>
      <c r="AI26" s="97">
        <f t="shared" ref="AI26:AI41" si="56">IF(AG26&lt;70%,MIN(AH26,(AC26+AD26/2)*$C26),AH26/AB$24)</f>
        <v>7.3891198280463373</v>
      </c>
      <c r="AJ26" s="9"/>
      <c r="AK26" s="9">
        <f>GFA!AJ27</f>
        <v>435.35721077134019</v>
      </c>
      <c r="AL26" s="9">
        <f>GFA!AL27</f>
        <v>0</v>
      </c>
      <c r="AM26" s="97">
        <f t="shared" si="45"/>
        <v>391.82148969420621</v>
      </c>
      <c r="AN26" s="9">
        <f t="shared" si="46"/>
        <v>337.88091494946792</v>
      </c>
      <c r="AO26" s="115">
        <f t="shared" si="47"/>
        <v>0.86233380209228505</v>
      </c>
      <c r="AP26" s="116">
        <f t="shared" si="48"/>
        <v>53.940574744738285</v>
      </c>
      <c r="AQ26" s="97">
        <f t="shared" ref="AQ26:AQ41" si="57">IF(AO26&lt;70%,MIN(AP26,(AK26+AL26/2)*$C26),AP26/AJ$24)</f>
        <v>7.3891198280463399</v>
      </c>
      <c r="AR26" s="9"/>
      <c r="AS26" s="9">
        <f>GFA!AR27</f>
        <v>435.35721077134019</v>
      </c>
      <c r="AT26" s="9">
        <f>GFA!AT27</f>
        <v>0</v>
      </c>
      <c r="AU26" s="97">
        <f t="shared" si="49"/>
        <v>391.82148969420621</v>
      </c>
      <c r="AV26" s="9">
        <f t="shared" si="50"/>
        <v>345.27003477751424</v>
      </c>
      <c r="AW26" s="115">
        <f t="shared" si="51"/>
        <v>0.88119218536731447</v>
      </c>
      <c r="AX26" s="116">
        <f t="shared" si="52"/>
        <v>46.551454916691966</v>
      </c>
      <c r="AY26" s="97">
        <f t="shared" ref="AY26:AY41" si="58">IF(AW26&lt;70%,MIN(AX26,(AS26+AT26/2)*$C26),AX26/AR$24)</f>
        <v>7.3891198280463435</v>
      </c>
    </row>
    <row r="27" spans="2:51" ht="31" x14ac:dyDescent="0.35">
      <c r="B27" s="84" t="s">
        <v>135</v>
      </c>
      <c r="C27" s="117">
        <v>5.28E-2</v>
      </c>
      <c r="D27" s="9"/>
      <c r="E27" s="9">
        <f>GFA!D28</f>
        <v>0</v>
      </c>
      <c r="F27" s="9">
        <f>GFA!F28</f>
        <v>0</v>
      </c>
      <c r="G27" s="97">
        <f t="shared" si="30"/>
        <v>0</v>
      </c>
      <c r="H27" s="9">
        <v>0</v>
      </c>
      <c r="I27" s="115">
        <f t="shared" si="31"/>
        <v>0</v>
      </c>
      <c r="J27" s="116">
        <f t="shared" si="32"/>
        <v>0</v>
      </c>
      <c r="K27" s="97">
        <f t="shared" si="53"/>
        <v>0</v>
      </c>
      <c r="L27" s="9"/>
      <c r="M27" s="9">
        <f>GFA!L28</f>
        <v>0</v>
      </c>
      <c r="N27" s="9">
        <f>GFA!N28</f>
        <v>0</v>
      </c>
      <c r="O27" s="97">
        <f t="shared" si="33"/>
        <v>0</v>
      </c>
      <c r="P27" s="9">
        <f t="shared" si="34"/>
        <v>0</v>
      </c>
      <c r="Q27" s="115">
        <f t="shared" si="35"/>
        <v>0</v>
      </c>
      <c r="R27" s="116">
        <f t="shared" si="36"/>
        <v>0</v>
      </c>
      <c r="S27" s="97">
        <f t="shared" si="54"/>
        <v>0</v>
      </c>
      <c r="T27" s="9"/>
      <c r="U27" s="9">
        <f>GFA!T28</f>
        <v>0</v>
      </c>
      <c r="V27" s="9">
        <f>GFA!V28</f>
        <v>0</v>
      </c>
      <c r="W27" s="97">
        <f t="shared" si="37"/>
        <v>0</v>
      </c>
      <c r="X27" s="9">
        <f t="shared" si="38"/>
        <v>0</v>
      </c>
      <c r="Y27" s="115">
        <f t="shared" si="39"/>
        <v>0</v>
      </c>
      <c r="Z27" s="116">
        <f t="shared" si="40"/>
        <v>0</v>
      </c>
      <c r="AA27" s="97">
        <f t="shared" si="55"/>
        <v>0</v>
      </c>
      <c r="AB27" s="9"/>
      <c r="AC27" s="9">
        <f>GFA!AB28</f>
        <v>0</v>
      </c>
      <c r="AD27" s="9">
        <f>GFA!AD28</f>
        <v>0</v>
      </c>
      <c r="AE27" s="97">
        <f t="shared" si="41"/>
        <v>0</v>
      </c>
      <c r="AF27" s="9">
        <f t="shared" si="42"/>
        <v>0</v>
      </c>
      <c r="AG27" s="115">
        <f t="shared" si="43"/>
        <v>0</v>
      </c>
      <c r="AH27" s="116">
        <f t="shared" si="44"/>
        <v>0</v>
      </c>
      <c r="AI27" s="97">
        <f t="shared" si="56"/>
        <v>0</v>
      </c>
      <c r="AJ27" s="9"/>
      <c r="AK27" s="9">
        <f>GFA!AJ28</f>
        <v>0</v>
      </c>
      <c r="AL27" s="9">
        <f>GFA!AL28</f>
        <v>0</v>
      </c>
      <c r="AM27" s="97">
        <f t="shared" si="45"/>
        <v>0</v>
      </c>
      <c r="AN27" s="9">
        <f t="shared" si="46"/>
        <v>0</v>
      </c>
      <c r="AO27" s="115">
        <f t="shared" si="47"/>
        <v>0</v>
      </c>
      <c r="AP27" s="116">
        <f t="shared" si="48"/>
        <v>0</v>
      </c>
      <c r="AQ27" s="97">
        <f t="shared" si="57"/>
        <v>0</v>
      </c>
      <c r="AR27" s="9"/>
      <c r="AS27" s="9">
        <f>GFA!AR28</f>
        <v>0</v>
      </c>
      <c r="AT27" s="9">
        <f>GFA!AT28</f>
        <v>0</v>
      </c>
      <c r="AU27" s="97">
        <f t="shared" si="49"/>
        <v>0</v>
      </c>
      <c r="AV27" s="9">
        <f t="shared" si="50"/>
        <v>0</v>
      </c>
      <c r="AW27" s="115">
        <f t="shared" si="51"/>
        <v>0</v>
      </c>
      <c r="AX27" s="116">
        <f t="shared" si="52"/>
        <v>0</v>
      </c>
      <c r="AY27" s="97">
        <f t="shared" si="58"/>
        <v>0</v>
      </c>
    </row>
    <row r="28" spans="2:51" x14ac:dyDescent="0.35">
      <c r="B28" s="7" t="s">
        <v>136</v>
      </c>
      <c r="C28" s="14">
        <v>5.28E-2</v>
      </c>
      <c r="D28" s="9"/>
      <c r="E28" s="9">
        <f>GFA!D29</f>
        <v>339.77649120094276</v>
      </c>
      <c r="F28" s="9">
        <f>GFA!F29</f>
        <v>0</v>
      </c>
      <c r="G28" s="97">
        <f t="shared" si="30"/>
        <v>305.79884208084849</v>
      </c>
      <c r="H28" s="9">
        <v>296.64431074918599</v>
      </c>
      <c r="I28" s="115">
        <f t="shared" si="31"/>
        <v>0.97006355135497147</v>
      </c>
      <c r="J28" s="116">
        <f t="shared" si="32"/>
        <v>9.154531331662497</v>
      </c>
      <c r="K28" s="97">
        <f t="shared" si="53"/>
        <v>0.81013551607632717</v>
      </c>
      <c r="L28" s="9"/>
      <c r="M28" s="9">
        <f>GFA!L29</f>
        <v>339.77649120094276</v>
      </c>
      <c r="N28" s="9">
        <f>GFA!N29</f>
        <v>5.180049824684696</v>
      </c>
      <c r="O28" s="97">
        <f t="shared" si="33"/>
        <v>310.46088692306472</v>
      </c>
      <c r="P28" s="9">
        <f t="shared" si="34"/>
        <v>297.45444626526233</v>
      </c>
      <c r="Q28" s="115">
        <f t="shared" si="35"/>
        <v>0.95810602492730268</v>
      </c>
      <c r="R28" s="116">
        <f t="shared" si="36"/>
        <v>13.006440657802386</v>
      </c>
      <c r="S28" s="97">
        <f t="shared" si="54"/>
        <v>1.2627612289128529</v>
      </c>
      <c r="T28" s="9"/>
      <c r="U28" s="9">
        <f>GFA!T29</f>
        <v>344.95654102562747</v>
      </c>
      <c r="V28" s="9">
        <f>GFA!V29</f>
        <v>2.4485663750526245</v>
      </c>
      <c r="W28" s="97">
        <f t="shared" si="37"/>
        <v>312.66459666061212</v>
      </c>
      <c r="X28" s="9">
        <f t="shared" si="38"/>
        <v>298.71720749417517</v>
      </c>
      <c r="Y28" s="115">
        <f t="shared" si="39"/>
        <v>0.95539185019538231</v>
      </c>
      <c r="Z28" s="116">
        <f t="shared" si="40"/>
        <v>13.947389166436949</v>
      </c>
      <c r="AA28" s="97">
        <f t="shared" si="55"/>
        <v>1.499719265208274</v>
      </c>
      <c r="AB28" s="9"/>
      <c r="AC28" s="9">
        <f>GFA!AB29</f>
        <v>347.40510740068009</v>
      </c>
      <c r="AD28" s="9">
        <f>GFA!AD29</f>
        <v>0</v>
      </c>
      <c r="AE28" s="97">
        <f t="shared" si="41"/>
        <v>312.66459666061212</v>
      </c>
      <c r="AF28" s="9">
        <f t="shared" si="42"/>
        <v>300.21692675938345</v>
      </c>
      <c r="AG28" s="115">
        <f t="shared" si="43"/>
        <v>0.96018842544319072</v>
      </c>
      <c r="AH28" s="116">
        <f t="shared" si="44"/>
        <v>12.447669901228664</v>
      </c>
      <c r="AI28" s="97">
        <f t="shared" si="56"/>
        <v>1.4997192652082727</v>
      </c>
      <c r="AJ28" s="9"/>
      <c r="AK28" s="9">
        <f>GFA!AJ29</f>
        <v>347.40510740068009</v>
      </c>
      <c r="AL28" s="9">
        <f>GFA!AL29</f>
        <v>0</v>
      </c>
      <c r="AM28" s="97">
        <f t="shared" si="45"/>
        <v>312.66459666061212</v>
      </c>
      <c r="AN28" s="9">
        <f t="shared" si="46"/>
        <v>301.71664602459174</v>
      </c>
      <c r="AO28" s="115">
        <f t="shared" si="47"/>
        <v>0.96498500069099913</v>
      </c>
      <c r="AP28" s="116">
        <f t="shared" si="48"/>
        <v>10.94795063602038</v>
      </c>
      <c r="AQ28" s="97">
        <f t="shared" si="57"/>
        <v>1.4997192652082711</v>
      </c>
      <c r="AR28" s="9"/>
      <c r="AS28" s="9">
        <f>GFA!AR29</f>
        <v>347.40510740068009</v>
      </c>
      <c r="AT28" s="9">
        <f>GFA!AT29</f>
        <v>0</v>
      </c>
      <c r="AU28" s="97">
        <f t="shared" si="49"/>
        <v>312.66459666061212</v>
      </c>
      <c r="AV28" s="9">
        <f t="shared" si="50"/>
        <v>303.21636528980002</v>
      </c>
      <c r="AW28" s="115">
        <f t="shared" si="51"/>
        <v>0.96978157593880743</v>
      </c>
      <c r="AX28" s="116">
        <f t="shared" si="52"/>
        <v>9.4482313708120955</v>
      </c>
      <c r="AY28" s="97">
        <f t="shared" si="58"/>
        <v>1.4997192652082689</v>
      </c>
    </row>
    <row r="29" spans="2:51" x14ac:dyDescent="0.35">
      <c r="B29" s="7" t="s">
        <v>137</v>
      </c>
      <c r="C29" s="14">
        <v>3.3399999999999999E-2</v>
      </c>
      <c r="D29" s="9"/>
      <c r="E29" s="9">
        <f>GFA!D30</f>
        <v>221.06417251710383</v>
      </c>
      <c r="F29" s="9">
        <f>GFA!F30</f>
        <v>0</v>
      </c>
      <c r="G29" s="97">
        <f t="shared" si="30"/>
        <v>198.95775526539344</v>
      </c>
      <c r="H29" s="9">
        <v>194.89733761443023</v>
      </c>
      <c r="I29" s="115">
        <f t="shared" si="31"/>
        <v>0.97959155879323756</v>
      </c>
      <c r="J29" s="116">
        <f t="shared" si="32"/>
        <v>4.0604176509632168</v>
      </c>
      <c r="K29" s="97">
        <f t="shared" si="53"/>
        <v>0.35932899566046167</v>
      </c>
      <c r="L29" s="9"/>
      <c r="M29" s="9">
        <f>GFA!L30</f>
        <v>221.06417251710383</v>
      </c>
      <c r="N29" s="9">
        <f>GFA!N30</f>
        <v>0.78679396318031658</v>
      </c>
      <c r="O29" s="97">
        <f t="shared" si="33"/>
        <v>199.66586983225574</v>
      </c>
      <c r="P29" s="9">
        <f t="shared" si="34"/>
        <v>195.25666661009069</v>
      </c>
      <c r="Q29" s="115">
        <f t="shared" si="35"/>
        <v>0.97791709105883085</v>
      </c>
      <c r="R29" s="116">
        <f t="shared" si="36"/>
        <v>4.409203222165047</v>
      </c>
      <c r="S29" s="97">
        <f t="shared" si="54"/>
        <v>0.42807798273447056</v>
      </c>
      <c r="T29" s="9"/>
      <c r="U29" s="9">
        <f>GFA!T30</f>
        <v>221.85096648028414</v>
      </c>
      <c r="V29" s="9">
        <f>GFA!V30</f>
        <v>10.204377654802039</v>
      </c>
      <c r="W29" s="97">
        <f t="shared" si="37"/>
        <v>208.84980972157757</v>
      </c>
      <c r="X29" s="9">
        <f t="shared" si="38"/>
        <v>195.68474459282515</v>
      </c>
      <c r="Y29" s="115">
        <f t="shared" si="39"/>
        <v>0.93696395919008468</v>
      </c>
      <c r="Z29" s="116">
        <f t="shared" si="40"/>
        <v>13.165065128752417</v>
      </c>
      <c r="AA29" s="97">
        <f t="shared" si="55"/>
        <v>1.41559840094112</v>
      </c>
      <c r="AB29" s="9"/>
      <c r="AC29" s="9">
        <f>GFA!AB30</f>
        <v>232.05534413508619</v>
      </c>
      <c r="AD29" s="9">
        <f>GFA!AD30</f>
        <v>0</v>
      </c>
      <c r="AE29" s="97">
        <f t="shared" si="41"/>
        <v>208.84980972157757</v>
      </c>
      <c r="AF29" s="9">
        <f t="shared" si="42"/>
        <v>197.10034299376628</v>
      </c>
      <c r="AG29" s="115">
        <f t="shared" si="43"/>
        <v>0.94374202809437668</v>
      </c>
      <c r="AH29" s="116">
        <f t="shared" si="44"/>
        <v>11.749466727811296</v>
      </c>
      <c r="AI29" s="97">
        <f t="shared" si="56"/>
        <v>1.4155984009411198</v>
      </c>
      <c r="AJ29" s="9"/>
      <c r="AK29" s="9">
        <f>GFA!AJ30</f>
        <v>232.05534413508619</v>
      </c>
      <c r="AL29" s="9">
        <f>GFA!AL30</f>
        <v>0</v>
      </c>
      <c r="AM29" s="97">
        <f t="shared" si="45"/>
        <v>208.84980972157757</v>
      </c>
      <c r="AN29" s="9">
        <f t="shared" si="46"/>
        <v>198.5159413947074</v>
      </c>
      <c r="AO29" s="115">
        <f t="shared" si="47"/>
        <v>0.95052009699866857</v>
      </c>
      <c r="AP29" s="116">
        <f t="shared" si="48"/>
        <v>10.333868326870174</v>
      </c>
      <c r="AQ29" s="97">
        <f t="shared" si="57"/>
        <v>1.4155984009411196</v>
      </c>
      <c r="AR29" s="9"/>
      <c r="AS29" s="9">
        <f>GFA!AR30</f>
        <v>232.05534413508619</v>
      </c>
      <c r="AT29" s="9">
        <f>GFA!AT30</f>
        <v>0</v>
      </c>
      <c r="AU29" s="97">
        <f t="shared" si="49"/>
        <v>208.84980972157757</v>
      </c>
      <c r="AV29" s="9">
        <f t="shared" si="50"/>
        <v>199.93153979564852</v>
      </c>
      <c r="AW29" s="115">
        <f t="shared" si="51"/>
        <v>0.95729816590296057</v>
      </c>
      <c r="AX29" s="116">
        <f t="shared" si="52"/>
        <v>8.918269925929053</v>
      </c>
      <c r="AY29" s="97">
        <f t="shared" si="58"/>
        <v>1.4155984009411193</v>
      </c>
    </row>
    <row r="30" spans="2:51" x14ac:dyDescent="0.35">
      <c r="B30" s="7" t="s">
        <v>138</v>
      </c>
      <c r="C30" s="14">
        <v>5.28E-2</v>
      </c>
      <c r="D30" s="9"/>
      <c r="E30" s="9">
        <f>GFA!D31</f>
        <v>2654.4630031354054</v>
      </c>
      <c r="F30" s="9">
        <f>GFA!F31</f>
        <v>51.626667952242578</v>
      </c>
      <c r="G30" s="97">
        <f t="shared" si="30"/>
        <v>2435.4807039788834</v>
      </c>
      <c r="H30" s="9">
        <v>2162.5922050623881</v>
      </c>
      <c r="I30" s="115">
        <f t="shared" si="31"/>
        <v>0.88795292096928824</v>
      </c>
      <c r="J30" s="116">
        <f t="shared" si="32"/>
        <v>272.88849891649534</v>
      </c>
      <c r="K30" s="97">
        <f t="shared" si="53"/>
        <v>24.149424682875694</v>
      </c>
      <c r="L30" s="9"/>
      <c r="M30" s="9">
        <f>GFA!L31</f>
        <v>2706.0896710876482</v>
      </c>
      <c r="N30" s="9">
        <f>GFA!N31</f>
        <v>12.981004385983329</v>
      </c>
      <c r="O30" s="97">
        <f t="shared" si="33"/>
        <v>2447.1636079262685</v>
      </c>
      <c r="P30" s="9">
        <f t="shared" si="34"/>
        <v>2186.7416297452637</v>
      </c>
      <c r="Q30" s="115">
        <f t="shared" si="35"/>
        <v>0.8935821138654122</v>
      </c>
      <c r="R30" s="116">
        <f t="shared" si="36"/>
        <v>260.42197818100476</v>
      </c>
      <c r="S30" s="97">
        <f t="shared" si="54"/>
        <v>25.283687202039296</v>
      </c>
      <c r="T30" s="9"/>
      <c r="U30" s="9">
        <f>GFA!T31</f>
        <v>2719.0706754736316</v>
      </c>
      <c r="V30" s="9">
        <f>GFA!V31</f>
        <v>297.94946911022157</v>
      </c>
      <c r="W30" s="97">
        <f t="shared" si="37"/>
        <v>2715.3181301254676</v>
      </c>
      <c r="X30" s="9">
        <f t="shared" si="38"/>
        <v>2212.0253169473031</v>
      </c>
      <c r="Y30" s="115">
        <f t="shared" si="39"/>
        <v>0.81464683360880852</v>
      </c>
      <c r="Z30" s="116">
        <f t="shared" si="40"/>
        <v>503.29281317816458</v>
      </c>
      <c r="AA30" s="97">
        <f t="shared" si="55"/>
        <v>54.117506793351026</v>
      </c>
      <c r="AB30" s="9"/>
      <c r="AC30" s="9">
        <f>GFA!AB31</f>
        <v>3013.4725050838529</v>
      </c>
      <c r="AD30" s="9">
        <f>GFA!AD31</f>
        <v>199.16859312299999</v>
      </c>
      <c r="AE30" s="97">
        <f t="shared" si="41"/>
        <v>2891.3769883861678</v>
      </c>
      <c r="AF30" s="9">
        <f t="shared" si="42"/>
        <v>2266.142823740654</v>
      </c>
      <c r="AG30" s="115">
        <f t="shared" si="43"/>
        <v>0.7837590299857472</v>
      </c>
      <c r="AH30" s="116">
        <f t="shared" si="44"/>
        <v>625.23416464551383</v>
      </c>
      <c r="AI30" s="97">
        <f t="shared" si="56"/>
        <v>75.329417427170341</v>
      </c>
      <c r="AJ30" s="9"/>
      <c r="AK30" s="9">
        <f>GFA!AJ31</f>
        <v>3212.6410982068528</v>
      </c>
      <c r="AL30" s="9">
        <f>GFA!AL31</f>
        <v>149.45147759999998</v>
      </c>
      <c r="AM30" s="97">
        <f t="shared" si="45"/>
        <v>3025.8833182261678</v>
      </c>
      <c r="AN30" s="9">
        <f t="shared" si="46"/>
        <v>2341.4722411678244</v>
      </c>
      <c r="AO30" s="115">
        <f t="shared" si="47"/>
        <v>0.77381445182111031</v>
      </c>
      <c r="AP30" s="116">
        <f t="shared" si="48"/>
        <v>684.41107705834338</v>
      </c>
      <c r="AQ30" s="97">
        <f t="shared" si="57"/>
        <v>93.754942062786753</v>
      </c>
      <c r="AR30" s="9"/>
      <c r="AS30" s="9">
        <f>GFA!AR31</f>
        <v>3362.0925758068529</v>
      </c>
      <c r="AT30" s="9">
        <f>GFA!AT31</f>
        <v>920.42908907900005</v>
      </c>
      <c r="AU30" s="97">
        <f t="shared" si="49"/>
        <v>3854.2694983972679</v>
      </c>
      <c r="AV30" s="9">
        <f t="shared" si="50"/>
        <v>2435.227183230611</v>
      </c>
      <c r="AW30" s="115">
        <f t="shared" si="51"/>
        <v>0.63182587108744181</v>
      </c>
      <c r="AX30" s="116">
        <f t="shared" si="52"/>
        <v>1419.0423151666569</v>
      </c>
      <c r="AY30" s="97">
        <f t="shared" si="58"/>
        <v>201.81781595428743</v>
      </c>
    </row>
    <row r="31" spans="2:51" x14ac:dyDescent="0.35">
      <c r="B31" s="7" t="s">
        <v>139</v>
      </c>
      <c r="C31" s="14">
        <v>0.18</v>
      </c>
      <c r="D31" s="9"/>
      <c r="E31" s="9">
        <f>GFA!D32</f>
        <v>0</v>
      </c>
      <c r="F31" s="9">
        <f>GFA!F32</f>
        <v>0</v>
      </c>
      <c r="G31" s="97">
        <f t="shared" si="30"/>
        <v>0</v>
      </c>
      <c r="H31" s="9">
        <v>0</v>
      </c>
      <c r="I31" s="115">
        <f t="shared" si="31"/>
        <v>0</v>
      </c>
      <c r="J31" s="116">
        <f t="shared" si="32"/>
        <v>0</v>
      </c>
      <c r="K31" s="97">
        <f t="shared" si="53"/>
        <v>0</v>
      </c>
      <c r="L31" s="9"/>
      <c r="M31" s="9">
        <f>GFA!L32</f>
        <v>0</v>
      </c>
      <c r="N31" s="9">
        <f>GFA!N32</f>
        <v>0</v>
      </c>
      <c r="O31" s="97">
        <f t="shared" si="33"/>
        <v>0</v>
      </c>
      <c r="P31" s="9">
        <f t="shared" si="34"/>
        <v>0</v>
      </c>
      <c r="Q31" s="115">
        <f t="shared" si="35"/>
        <v>0</v>
      </c>
      <c r="R31" s="116">
        <f t="shared" si="36"/>
        <v>0</v>
      </c>
      <c r="S31" s="97">
        <f t="shared" si="54"/>
        <v>0</v>
      </c>
      <c r="T31" s="9"/>
      <c r="U31" s="9">
        <f>GFA!T32</f>
        <v>0</v>
      </c>
      <c r="V31" s="9">
        <f>GFA!V32</f>
        <v>0</v>
      </c>
      <c r="W31" s="97">
        <f t="shared" si="37"/>
        <v>0</v>
      </c>
      <c r="X31" s="9">
        <f t="shared" si="38"/>
        <v>0</v>
      </c>
      <c r="Y31" s="115">
        <f t="shared" si="39"/>
        <v>0</v>
      </c>
      <c r="Z31" s="116">
        <f t="shared" si="40"/>
        <v>0</v>
      </c>
      <c r="AA31" s="97">
        <f t="shared" si="55"/>
        <v>0</v>
      </c>
      <c r="AB31" s="9"/>
      <c r="AC31" s="9">
        <f>GFA!AB32</f>
        <v>0</v>
      </c>
      <c r="AD31" s="9">
        <f>GFA!AD32</f>
        <v>0</v>
      </c>
      <c r="AE31" s="97">
        <f t="shared" si="41"/>
        <v>0</v>
      </c>
      <c r="AF31" s="9">
        <f t="shared" si="42"/>
        <v>0</v>
      </c>
      <c r="AG31" s="115">
        <f t="shared" si="43"/>
        <v>0</v>
      </c>
      <c r="AH31" s="116">
        <f t="shared" si="44"/>
        <v>0</v>
      </c>
      <c r="AI31" s="97">
        <f t="shared" si="56"/>
        <v>0</v>
      </c>
      <c r="AJ31" s="9"/>
      <c r="AK31" s="9">
        <f>GFA!AJ32</f>
        <v>0</v>
      </c>
      <c r="AL31" s="9">
        <f>GFA!AL32</f>
        <v>0</v>
      </c>
      <c r="AM31" s="97">
        <f t="shared" si="45"/>
        <v>0</v>
      </c>
      <c r="AN31" s="9">
        <f t="shared" si="46"/>
        <v>0</v>
      </c>
      <c r="AO31" s="115">
        <f t="shared" si="47"/>
        <v>0</v>
      </c>
      <c r="AP31" s="116">
        <f t="shared" si="48"/>
        <v>0</v>
      </c>
      <c r="AQ31" s="97">
        <f t="shared" si="57"/>
        <v>0</v>
      </c>
      <c r="AR31" s="9"/>
      <c r="AS31" s="9">
        <f>GFA!AR32</f>
        <v>0</v>
      </c>
      <c r="AT31" s="9">
        <f>GFA!AT32</f>
        <v>0</v>
      </c>
      <c r="AU31" s="97">
        <f t="shared" si="49"/>
        <v>0</v>
      </c>
      <c r="AV31" s="9">
        <f t="shared" si="50"/>
        <v>0</v>
      </c>
      <c r="AW31" s="115">
        <f t="shared" si="51"/>
        <v>0</v>
      </c>
      <c r="AX31" s="116">
        <f t="shared" si="52"/>
        <v>0</v>
      </c>
      <c r="AY31" s="97">
        <f t="shared" si="58"/>
        <v>0</v>
      </c>
    </row>
    <row r="32" spans="2:51" x14ac:dyDescent="0.35">
      <c r="B32" s="7" t="s">
        <v>140</v>
      </c>
      <c r="C32" s="14">
        <v>5.28E-2</v>
      </c>
      <c r="D32" s="9"/>
      <c r="E32" s="9">
        <f>GFA!D33</f>
        <v>0</v>
      </c>
      <c r="F32" s="9">
        <f>GFA!F33</f>
        <v>0</v>
      </c>
      <c r="G32" s="97">
        <f t="shared" si="30"/>
        <v>0</v>
      </c>
      <c r="H32" s="9">
        <v>0</v>
      </c>
      <c r="I32" s="115">
        <f t="shared" si="31"/>
        <v>0</v>
      </c>
      <c r="J32" s="116">
        <f t="shared" si="32"/>
        <v>0</v>
      </c>
      <c r="K32" s="97">
        <f t="shared" si="53"/>
        <v>0</v>
      </c>
      <c r="L32" s="9"/>
      <c r="M32" s="9">
        <f>GFA!L33</f>
        <v>0</v>
      </c>
      <c r="N32" s="9">
        <f>GFA!N33</f>
        <v>0</v>
      </c>
      <c r="O32" s="97">
        <f t="shared" si="33"/>
        <v>0</v>
      </c>
      <c r="P32" s="9">
        <f t="shared" si="34"/>
        <v>0</v>
      </c>
      <c r="Q32" s="115">
        <f t="shared" si="35"/>
        <v>0</v>
      </c>
      <c r="R32" s="116">
        <f t="shared" si="36"/>
        <v>0</v>
      </c>
      <c r="S32" s="97">
        <f t="shared" si="54"/>
        <v>0</v>
      </c>
      <c r="T32" s="9"/>
      <c r="U32" s="9">
        <f>GFA!T33</f>
        <v>0</v>
      </c>
      <c r="V32" s="9">
        <f>GFA!V33</f>
        <v>0</v>
      </c>
      <c r="W32" s="97">
        <f t="shared" si="37"/>
        <v>0</v>
      </c>
      <c r="X32" s="9">
        <f t="shared" si="38"/>
        <v>0</v>
      </c>
      <c r="Y32" s="115">
        <f t="shared" si="39"/>
        <v>0</v>
      </c>
      <c r="Z32" s="116">
        <f t="shared" si="40"/>
        <v>0</v>
      </c>
      <c r="AA32" s="97">
        <f t="shared" si="55"/>
        <v>0</v>
      </c>
      <c r="AB32" s="9"/>
      <c r="AC32" s="9">
        <f>GFA!AB33</f>
        <v>0</v>
      </c>
      <c r="AD32" s="9">
        <f>GFA!AD33</f>
        <v>0</v>
      </c>
      <c r="AE32" s="97">
        <f t="shared" si="41"/>
        <v>0</v>
      </c>
      <c r="AF32" s="9">
        <f t="shared" si="42"/>
        <v>0</v>
      </c>
      <c r="AG32" s="115">
        <f t="shared" si="43"/>
        <v>0</v>
      </c>
      <c r="AH32" s="116">
        <f t="shared" si="44"/>
        <v>0</v>
      </c>
      <c r="AI32" s="97">
        <f t="shared" si="56"/>
        <v>0</v>
      </c>
      <c r="AJ32" s="9"/>
      <c r="AK32" s="9">
        <f>GFA!AJ33</f>
        <v>0</v>
      </c>
      <c r="AL32" s="9">
        <f>GFA!AL33</f>
        <v>0</v>
      </c>
      <c r="AM32" s="97">
        <f t="shared" si="45"/>
        <v>0</v>
      </c>
      <c r="AN32" s="9">
        <f t="shared" si="46"/>
        <v>0</v>
      </c>
      <c r="AO32" s="115">
        <f t="shared" si="47"/>
        <v>0</v>
      </c>
      <c r="AP32" s="116">
        <f t="shared" si="48"/>
        <v>0</v>
      </c>
      <c r="AQ32" s="97">
        <f t="shared" si="57"/>
        <v>0</v>
      </c>
      <c r="AR32" s="9"/>
      <c r="AS32" s="9">
        <f>GFA!AR33</f>
        <v>0</v>
      </c>
      <c r="AT32" s="9">
        <f>GFA!AT33</f>
        <v>0</v>
      </c>
      <c r="AU32" s="97">
        <f t="shared" si="49"/>
        <v>0</v>
      </c>
      <c r="AV32" s="9">
        <f t="shared" si="50"/>
        <v>0</v>
      </c>
      <c r="AW32" s="115">
        <f t="shared" si="51"/>
        <v>0</v>
      </c>
      <c r="AX32" s="116">
        <f t="shared" si="52"/>
        <v>0</v>
      </c>
      <c r="AY32" s="97">
        <f t="shared" si="58"/>
        <v>0</v>
      </c>
    </row>
    <row r="33" spans="2:51" x14ac:dyDescent="0.35">
      <c r="B33" s="7" t="s">
        <v>141</v>
      </c>
      <c r="C33" s="14">
        <v>5.28E-2</v>
      </c>
      <c r="D33" s="9"/>
      <c r="E33" s="9">
        <f>GFA!D34</f>
        <v>118.10088485300545</v>
      </c>
      <c r="F33" s="9">
        <f>GFA!F34</f>
        <v>0</v>
      </c>
      <c r="G33" s="97">
        <f t="shared" si="30"/>
        <v>106.29079636770491</v>
      </c>
      <c r="H33" s="9">
        <v>103.31541977945385</v>
      </c>
      <c r="I33" s="115">
        <f t="shared" si="31"/>
        <v>0.97200720391671558</v>
      </c>
      <c r="J33" s="116">
        <f t="shared" si="32"/>
        <v>2.9753765882510663</v>
      </c>
      <c r="K33" s="97">
        <f t="shared" si="53"/>
        <v>0.2633076626770855</v>
      </c>
      <c r="L33" s="9"/>
      <c r="M33" s="9">
        <f>GFA!L34</f>
        <v>118.10088485300545</v>
      </c>
      <c r="N33" s="9">
        <f>GFA!N34</f>
        <v>0</v>
      </c>
      <c r="O33" s="97">
        <f t="shared" si="33"/>
        <v>106.29079636770491</v>
      </c>
      <c r="P33" s="9">
        <f t="shared" si="34"/>
        <v>103.57872744213093</v>
      </c>
      <c r="Q33" s="115">
        <f t="shared" si="35"/>
        <v>0.97448444250815669</v>
      </c>
      <c r="R33" s="116">
        <f t="shared" si="36"/>
        <v>2.7120689255739876</v>
      </c>
      <c r="S33" s="97">
        <f t="shared" si="54"/>
        <v>0.26330766267708616</v>
      </c>
      <c r="T33" s="9"/>
      <c r="U33" s="9">
        <f>GFA!T34</f>
        <v>118.10088485300545</v>
      </c>
      <c r="V33" s="9">
        <f>GFA!V34</f>
        <v>0</v>
      </c>
      <c r="W33" s="97">
        <f t="shared" si="37"/>
        <v>106.29079636770491</v>
      </c>
      <c r="X33" s="9">
        <f t="shared" si="38"/>
        <v>103.84203510480802</v>
      </c>
      <c r="Y33" s="115">
        <f t="shared" si="39"/>
        <v>0.9769616810995978</v>
      </c>
      <c r="Z33" s="116">
        <f t="shared" si="40"/>
        <v>2.4487612628968947</v>
      </c>
      <c r="AA33" s="97">
        <f t="shared" si="55"/>
        <v>0.26330766267708544</v>
      </c>
      <c r="AB33" s="9"/>
      <c r="AC33" s="9">
        <f>GFA!AB34</f>
        <v>118.10088485300545</v>
      </c>
      <c r="AD33" s="9">
        <f>GFA!AD34</f>
        <v>0</v>
      </c>
      <c r="AE33" s="97">
        <f t="shared" si="41"/>
        <v>106.29079636770491</v>
      </c>
      <c r="AF33" s="9">
        <f t="shared" si="42"/>
        <v>104.1053427674851</v>
      </c>
      <c r="AG33" s="115">
        <f t="shared" si="43"/>
        <v>0.97943891969103891</v>
      </c>
      <c r="AH33" s="116">
        <f t="shared" si="44"/>
        <v>2.1854536002198159</v>
      </c>
      <c r="AI33" s="97">
        <f t="shared" si="56"/>
        <v>0.26330766267708622</v>
      </c>
      <c r="AJ33" s="9"/>
      <c r="AK33" s="9">
        <f>GFA!AJ34</f>
        <v>118.10088485300545</v>
      </c>
      <c r="AL33" s="9">
        <f>GFA!AL34</f>
        <v>0</v>
      </c>
      <c r="AM33" s="97">
        <f t="shared" si="45"/>
        <v>106.29079636770491</v>
      </c>
      <c r="AN33" s="9">
        <f t="shared" si="46"/>
        <v>104.36865043016219</v>
      </c>
      <c r="AO33" s="115">
        <f t="shared" si="47"/>
        <v>0.98191615828248002</v>
      </c>
      <c r="AP33" s="116">
        <f t="shared" si="48"/>
        <v>1.922145937542723</v>
      </c>
      <c r="AQ33" s="97">
        <f t="shared" si="57"/>
        <v>0.26330766267708533</v>
      </c>
      <c r="AR33" s="9"/>
      <c r="AS33" s="9">
        <f>GFA!AR34</f>
        <v>118.10088485300545</v>
      </c>
      <c r="AT33" s="9">
        <f>GFA!AT34</f>
        <v>0</v>
      </c>
      <c r="AU33" s="97">
        <f t="shared" si="49"/>
        <v>106.29079636770491</v>
      </c>
      <c r="AV33" s="9">
        <f t="shared" si="50"/>
        <v>104.63195809283927</v>
      </c>
      <c r="AW33" s="115">
        <f t="shared" si="51"/>
        <v>0.98439339687392102</v>
      </c>
      <c r="AX33" s="116">
        <f t="shared" si="52"/>
        <v>1.6588382748656443</v>
      </c>
      <c r="AY33" s="97">
        <f t="shared" si="58"/>
        <v>0.26330766267708638</v>
      </c>
    </row>
    <row r="34" spans="2:51" x14ac:dyDescent="0.35">
      <c r="B34" s="7" t="s">
        <v>142</v>
      </c>
      <c r="C34" s="14">
        <v>9.5000000000000001E-2</v>
      </c>
      <c r="D34" s="9"/>
      <c r="E34" s="9">
        <f>GFA!D35</f>
        <v>1.4735980717499835</v>
      </c>
      <c r="F34" s="9">
        <f>GFA!F35</f>
        <v>0</v>
      </c>
      <c r="G34" s="97">
        <f t="shared" si="30"/>
        <v>1.3262382645749851</v>
      </c>
      <c r="H34" s="9">
        <v>1.3320675224038629</v>
      </c>
      <c r="I34" s="115">
        <f t="shared" si="31"/>
        <v>1.0043953322601094</v>
      </c>
      <c r="J34" s="116">
        <f t="shared" si="32"/>
        <v>0</v>
      </c>
      <c r="K34" s="97">
        <f t="shared" si="53"/>
        <v>0</v>
      </c>
      <c r="L34" s="9"/>
      <c r="M34" s="9">
        <f>GFA!L35</f>
        <v>1.4735980717499835</v>
      </c>
      <c r="N34" s="9">
        <f>GFA!N35</f>
        <v>0</v>
      </c>
      <c r="O34" s="97">
        <f t="shared" si="33"/>
        <v>1.3262382645749851</v>
      </c>
      <c r="P34" s="9">
        <f t="shared" si="34"/>
        <v>1.3320675224038629</v>
      </c>
      <c r="Q34" s="115">
        <f t="shared" si="35"/>
        <v>1.0043953322601094</v>
      </c>
      <c r="R34" s="116">
        <f t="shared" si="36"/>
        <v>0</v>
      </c>
      <c r="S34" s="97">
        <f t="shared" si="54"/>
        <v>0</v>
      </c>
      <c r="T34" s="9"/>
      <c r="U34" s="9">
        <f>GFA!T35</f>
        <v>1.4735980717499835</v>
      </c>
      <c r="V34" s="9">
        <f>GFA!V35</f>
        <v>0</v>
      </c>
      <c r="W34" s="97">
        <f t="shared" si="37"/>
        <v>1.3262382645749851</v>
      </c>
      <c r="X34" s="9">
        <f t="shared" si="38"/>
        <v>1.3320675224038629</v>
      </c>
      <c r="Y34" s="115">
        <f t="shared" si="39"/>
        <v>1.0043953322601094</v>
      </c>
      <c r="Z34" s="116">
        <f t="shared" si="40"/>
        <v>0</v>
      </c>
      <c r="AA34" s="97">
        <f t="shared" si="55"/>
        <v>0</v>
      </c>
      <c r="AB34" s="9"/>
      <c r="AC34" s="9">
        <f>GFA!AB35</f>
        <v>1.4735980717499835</v>
      </c>
      <c r="AD34" s="9">
        <f>GFA!AD35</f>
        <v>0</v>
      </c>
      <c r="AE34" s="97">
        <f t="shared" si="41"/>
        <v>1.3262382645749851</v>
      </c>
      <c r="AF34" s="9">
        <f t="shared" si="42"/>
        <v>1.3320675224038629</v>
      </c>
      <c r="AG34" s="115">
        <f t="shared" si="43"/>
        <v>1.0043953322601094</v>
      </c>
      <c r="AH34" s="116">
        <f t="shared" si="44"/>
        <v>0</v>
      </c>
      <c r="AI34" s="97">
        <f t="shared" si="56"/>
        <v>0</v>
      </c>
      <c r="AJ34" s="9"/>
      <c r="AK34" s="9">
        <f>GFA!AJ35</f>
        <v>1.4735980717499835</v>
      </c>
      <c r="AL34" s="9">
        <f>GFA!AL35</f>
        <v>0</v>
      </c>
      <c r="AM34" s="97">
        <f t="shared" si="45"/>
        <v>1.3262382645749851</v>
      </c>
      <c r="AN34" s="9">
        <f t="shared" si="46"/>
        <v>1.3320675224038629</v>
      </c>
      <c r="AO34" s="115">
        <f t="shared" si="47"/>
        <v>1.0043953322601094</v>
      </c>
      <c r="AP34" s="116">
        <f t="shared" si="48"/>
        <v>0</v>
      </c>
      <c r="AQ34" s="97">
        <f t="shared" si="57"/>
        <v>0</v>
      </c>
      <c r="AR34" s="9"/>
      <c r="AS34" s="9">
        <f>GFA!AR35</f>
        <v>1.4735980717499835</v>
      </c>
      <c r="AT34" s="9">
        <f>GFA!AT35</f>
        <v>0</v>
      </c>
      <c r="AU34" s="97">
        <f t="shared" si="49"/>
        <v>1.3262382645749851</v>
      </c>
      <c r="AV34" s="9">
        <f t="shared" si="50"/>
        <v>1.3320675224038629</v>
      </c>
      <c r="AW34" s="115">
        <f t="shared" si="51"/>
        <v>1.0043953322601094</v>
      </c>
      <c r="AX34" s="116">
        <f t="shared" si="52"/>
        <v>0</v>
      </c>
      <c r="AY34" s="97">
        <f t="shared" si="58"/>
        <v>0</v>
      </c>
    </row>
    <row r="35" spans="2:51" x14ac:dyDescent="0.35">
      <c r="B35" s="7" t="s">
        <v>143</v>
      </c>
      <c r="C35" s="14">
        <v>6.3299999999999995E-2</v>
      </c>
      <c r="D35" s="9"/>
      <c r="E35" s="9">
        <f>GFA!D36</f>
        <v>2.2819061818961748</v>
      </c>
      <c r="F35" s="9">
        <f>GFA!F36</f>
        <v>7.026395590040059E-2</v>
      </c>
      <c r="G35" s="97">
        <f t="shared" si="30"/>
        <v>2.1169531240169182</v>
      </c>
      <c r="H35" s="9">
        <v>2.0466162362149469</v>
      </c>
      <c r="I35" s="115">
        <f t="shared" si="31"/>
        <v>0.96677447081657297</v>
      </c>
      <c r="J35" s="116">
        <f t="shared" si="32"/>
        <v>7.0336887801971226E-2</v>
      </c>
      <c r="K35" s="97">
        <f t="shared" si="53"/>
        <v>6.2245033453071875E-3</v>
      </c>
      <c r="L35" s="9"/>
      <c r="M35" s="9">
        <f>GFA!L36</f>
        <v>2.3521701377965756</v>
      </c>
      <c r="N35" s="9">
        <f>GFA!N36</f>
        <v>0.25337731512584249</v>
      </c>
      <c r="O35" s="97">
        <f t="shared" si="33"/>
        <v>2.3449927076301766</v>
      </c>
      <c r="P35" s="9">
        <f t="shared" si="34"/>
        <v>2.0528407395602541</v>
      </c>
      <c r="Q35" s="115">
        <f t="shared" si="35"/>
        <v>0.87541455155945114</v>
      </c>
      <c r="R35" s="116">
        <f t="shared" si="36"/>
        <v>0.2921519680699225</v>
      </c>
      <c r="S35" s="97">
        <f t="shared" si="54"/>
        <v>2.8364268744652667E-2</v>
      </c>
      <c r="T35" s="9"/>
      <c r="U35" s="9">
        <f>GFA!T36</f>
        <v>2.6055474529224183</v>
      </c>
      <c r="V35" s="9">
        <f>GFA!V36</f>
        <v>0.13142080290066033</v>
      </c>
      <c r="W35" s="97">
        <f t="shared" si="37"/>
        <v>2.4632714302407708</v>
      </c>
      <c r="X35" s="9">
        <f t="shared" si="38"/>
        <v>2.0812050083049067</v>
      </c>
      <c r="Y35" s="115">
        <f t="shared" si="39"/>
        <v>0.84489471308546815</v>
      </c>
      <c r="Z35" s="116">
        <f t="shared" si="40"/>
        <v>0.38206642193586404</v>
      </c>
      <c r="AA35" s="97">
        <f t="shared" si="55"/>
        <v>4.108241096084559E-2</v>
      </c>
      <c r="AB35" s="9"/>
      <c r="AC35" s="9">
        <f>GFA!AB36</f>
        <v>2.7369682558230788</v>
      </c>
      <c r="AD35" s="9">
        <f>GFA!AD36</f>
        <v>0</v>
      </c>
      <c r="AE35" s="97">
        <f t="shared" si="41"/>
        <v>2.4632714302407708</v>
      </c>
      <c r="AF35" s="9">
        <f t="shared" si="42"/>
        <v>2.1222874192657524</v>
      </c>
      <c r="AG35" s="115">
        <f t="shared" si="43"/>
        <v>0.86157270092574034</v>
      </c>
      <c r="AH35" s="116">
        <f t="shared" si="44"/>
        <v>0.3409840109750184</v>
      </c>
      <c r="AI35" s="97">
        <f t="shared" si="56"/>
        <v>4.108241096084559E-2</v>
      </c>
      <c r="AJ35" s="9"/>
      <c r="AK35" s="9">
        <f>GFA!AJ36</f>
        <v>2.7369682558230788</v>
      </c>
      <c r="AL35" s="9">
        <f>GFA!AL36</f>
        <v>0</v>
      </c>
      <c r="AM35" s="97">
        <f t="shared" si="45"/>
        <v>2.4632714302407708</v>
      </c>
      <c r="AN35" s="9">
        <f t="shared" si="46"/>
        <v>2.163369830226598</v>
      </c>
      <c r="AO35" s="115">
        <f t="shared" si="47"/>
        <v>0.87825068876601264</v>
      </c>
      <c r="AP35" s="116">
        <f t="shared" si="48"/>
        <v>0.29990160001417276</v>
      </c>
      <c r="AQ35" s="97">
        <f t="shared" si="57"/>
        <v>4.1082410960845583E-2</v>
      </c>
      <c r="AR35" s="9"/>
      <c r="AS35" s="9">
        <f>GFA!AR36</f>
        <v>2.7369682558230788</v>
      </c>
      <c r="AT35" s="9">
        <f>GFA!AT36</f>
        <v>0</v>
      </c>
      <c r="AU35" s="97">
        <f t="shared" si="49"/>
        <v>2.4632714302407708</v>
      </c>
      <c r="AV35" s="9">
        <f t="shared" si="50"/>
        <v>2.2044522411874437</v>
      </c>
      <c r="AW35" s="115">
        <f t="shared" si="51"/>
        <v>0.89492867660628495</v>
      </c>
      <c r="AX35" s="116">
        <f t="shared" si="52"/>
        <v>0.25881918905332713</v>
      </c>
      <c r="AY35" s="97">
        <f t="shared" si="58"/>
        <v>4.108241096084557E-2</v>
      </c>
    </row>
    <row r="36" spans="2:51" x14ac:dyDescent="0.35">
      <c r="B36" s="7" t="s">
        <v>144</v>
      </c>
      <c r="C36" s="14">
        <v>6.3299999999999995E-2</v>
      </c>
      <c r="D36" s="9"/>
      <c r="E36" s="9">
        <f>GFA!D37</f>
        <v>6.4406725670684128</v>
      </c>
      <c r="F36" s="9">
        <f>GFA!F37</f>
        <v>2.4216301158570293</v>
      </c>
      <c r="G36" s="97">
        <f t="shared" si="30"/>
        <v>7.9760724146328981</v>
      </c>
      <c r="H36" s="9">
        <v>4.4749369890654078</v>
      </c>
      <c r="I36" s="115">
        <f t="shared" si="31"/>
        <v>0.56104518069014653</v>
      </c>
      <c r="J36" s="116">
        <f t="shared" si="32"/>
        <v>3.5011354255674902</v>
      </c>
      <c r="K36" s="97">
        <f t="shared" si="53"/>
        <v>0.48433916666230548</v>
      </c>
      <c r="L36" s="9"/>
      <c r="M36" s="9">
        <f>GFA!L37</f>
        <v>8.8623026829254421</v>
      </c>
      <c r="N36" s="9">
        <f>GFA!N37</f>
        <v>0.498494770312781</v>
      </c>
      <c r="O36" s="97">
        <f t="shared" si="33"/>
        <v>8.424717707914402</v>
      </c>
      <c r="P36" s="9">
        <f t="shared" si="34"/>
        <v>4.9592761557277134</v>
      </c>
      <c r="Q36" s="115">
        <f t="shared" si="35"/>
        <v>0.58865784322587311</v>
      </c>
      <c r="R36" s="116">
        <f t="shared" si="36"/>
        <v>3.4654415521866886</v>
      </c>
      <c r="S36" s="97">
        <f t="shared" si="54"/>
        <v>0.57676111930957996</v>
      </c>
      <c r="T36" s="9"/>
      <c r="U36" s="9">
        <f>GFA!T37</f>
        <v>9.3607974532382237</v>
      </c>
      <c r="V36" s="9">
        <f>GFA!V37</f>
        <v>0.9754573702368905</v>
      </c>
      <c r="W36" s="97">
        <f t="shared" si="37"/>
        <v>9.3026293411276022</v>
      </c>
      <c r="X36" s="9">
        <f t="shared" si="38"/>
        <v>5.5360372750372937</v>
      </c>
      <c r="Y36" s="115">
        <f t="shared" si="39"/>
        <v>0.59510457441984377</v>
      </c>
      <c r="Z36" s="116">
        <f t="shared" si="40"/>
        <v>3.7665920660903085</v>
      </c>
      <c r="AA36" s="97">
        <f t="shared" si="55"/>
        <v>0.62341170455797701</v>
      </c>
      <c r="AB36" s="9"/>
      <c r="AC36" s="9">
        <f>GFA!AB37</f>
        <v>10.336254823475114</v>
      </c>
      <c r="AD36" s="9">
        <f>GFA!AD37</f>
        <v>0</v>
      </c>
      <c r="AE36" s="97">
        <f t="shared" si="41"/>
        <v>9.3026293411276022</v>
      </c>
      <c r="AF36" s="9">
        <f t="shared" si="42"/>
        <v>6.1594489795952709</v>
      </c>
      <c r="AG36" s="115">
        <f t="shared" si="43"/>
        <v>0.66211914435458563</v>
      </c>
      <c r="AH36" s="116">
        <f t="shared" si="44"/>
        <v>3.1431803615323313</v>
      </c>
      <c r="AI36" s="97">
        <f t="shared" si="56"/>
        <v>0.65428493032597468</v>
      </c>
      <c r="AJ36" s="9"/>
      <c r="AK36" s="9">
        <f>GFA!AJ37</f>
        <v>10.336254823475114</v>
      </c>
      <c r="AL36" s="9">
        <f>GFA!AL37</f>
        <v>0</v>
      </c>
      <c r="AM36" s="97">
        <f t="shared" si="45"/>
        <v>9.3026293411276022</v>
      </c>
      <c r="AN36" s="9">
        <f t="shared" si="46"/>
        <v>6.8137339099212459</v>
      </c>
      <c r="AO36" s="115">
        <f t="shared" si="47"/>
        <v>0.73245247768791899</v>
      </c>
      <c r="AP36" s="116">
        <f t="shared" si="48"/>
        <v>2.4888954312063563</v>
      </c>
      <c r="AQ36" s="97">
        <f t="shared" si="57"/>
        <v>0.34094457961730906</v>
      </c>
      <c r="AR36" s="9"/>
      <c r="AS36" s="9">
        <f>GFA!AR37</f>
        <v>10.336254823475114</v>
      </c>
      <c r="AT36" s="9">
        <f>GFA!AT37</f>
        <v>0</v>
      </c>
      <c r="AU36" s="97">
        <f t="shared" si="49"/>
        <v>9.3026293411276022</v>
      </c>
      <c r="AV36" s="9">
        <f t="shared" si="50"/>
        <v>7.1546784895385551</v>
      </c>
      <c r="AW36" s="115">
        <f t="shared" si="51"/>
        <v>0.76910282321012191</v>
      </c>
      <c r="AX36" s="116">
        <f t="shared" si="52"/>
        <v>2.1479508515890471</v>
      </c>
      <c r="AY36" s="97">
        <f t="shared" si="58"/>
        <v>0.34094457961730901</v>
      </c>
    </row>
    <row r="37" spans="2:51" x14ac:dyDescent="0.35">
      <c r="B37" s="7" t="s">
        <v>145</v>
      </c>
      <c r="C37" s="14">
        <v>6.3299999999999995E-2</v>
      </c>
      <c r="D37" s="9"/>
      <c r="E37" s="9">
        <f>GFA!D38</f>
        <v>0</v>
      </c>
      <c r="F37" s="9">
        <f>GFA!F38</f>
        <v>0</v>
      </c>
      <c r="G37" s="97">
        <f t="shared" si="30"/>
        <v>0</v>
      </c>
      <c r="H37" s="9">
        <v>0</v>
      </c>
      <c r="I37" s="115">
        <f t="shared" si="31"/>
        <v>0</v>
      </c>
      <c r="J37" s="116">
        <f t="shared" si="32"/>
        <v>0</v>
      </c>
      <c r="K37" s="97">
        <f t="shared" si="53"/>
        <v>0</v>
      </c>
      <c r="L37" s="9"/>
      <c r="M37" s="9">
        <f>GFA!L38</f>
        <v>0</v>
      </c>
      <c r="N37" s="9">
        <f>GFA!N38</f>
        <v>0</v>
      </c>
      <c r="O37" s="97">
        <f t="shared" si="33"/>
        <v>0</v>
      </c>
      <c r="P37" s="9">
        <f t="shared" si="34"/>
        <v>0</v>
      </c>
      <c r="Q37" s="115">
        <f t="shared" si="35"/>
        <v>0</v>
      </c>
      <c r="R37" s="116">
        <f t="shared" si="36"/>
        <v>0</v>
      </c>
      <c r="S37" s="97">
        <f t="shared" si="54"/>
        <v>0</v>
      </c>
      <c r="T37" s="9"/>
      <c r="U37" s="9">
        <f>GFA!T38</f>
        <v>0</v>
      </c>
      <c r="V37" s="9">
        <f>GFA!V38</f>
        <v>0</v>
      </c>
      <c r="W37" s="97">
        <f t="shared" si="37"/>
        <v>0</v>
      </c>
      <c r="X37" s="9">
        <f t="shared" si="38"/>
        <v>0</v>
      </c>
      <c r="Y37" s="115">
        <f t="shared" si="39"/>
        <v>0</v>
      </c>
      <c r="Z37" s="116">
        <f t="shared" si="40"/>
        <v>0</v>
      </c>
      <c r="AA37" s="97">
        <f t="shared" si="55"/>
        <v>0</v>
      </c>
      <c r="AB37" s="9"/>
      <c r="AC37" s="9">
        <f>GFA!AB38</f>
        <v>0</v>
      </c>
      <c r="AD37" s="9">
        <f>GFA!AD38</f>
        <v>0</v>
      </c>
      <c r="AE37" s="97">
        <f t="shared" si="41"/>
        <v>0</v>
      </c>
      <c r="AF37" s="9">
        <f t="shared" si="42"/>
        <v>0</v>
      </c>
      <c r="AG37" s="115">
        <f t="shared" si="43"/>
        <v>0</v>
      </c>
      <c r="AH37" s="116">
        <f t="shared" si="44"/>
        <v>0</v>
      </c>
      <c r="AI37" s="97">
        <f t="shared" si="56"/>
        <v>0</v>
      </c>
      <c r="AJ37" s="9"/>
      <c r="AK37" s="9">
        <f>GFA!AJ38</f>
        <v>0</v>
      </c>
      <c r="AL37" s="9">
        <f>GFA!AL38</f>
        <v>0</v>
      </c>
      <c r="AM37" s="97">
        <f t="shared" si="45"/>
        <v>0</v>
      </c>
      <c r="AN37" s="9">
        <f t="shared" si="46"/>
        <v>0</v>
      </c>
      <c r="AO37" s="115">
        <f t="shared" si="47"/>
        <v>0</v>
      </c>
      <c r="AP37" s="116">
        <f t="shared" si="48"/>
        <v>0</v>
      </c>
      <c r="AQ37" s="97">
        <f t="shared" si="57"/>
        <v>0</v>
      </c>
      <c r="AR37" s="9"/>
      <c r="AS37" s="9">
        <f>GFA!AR38</f>
        <v>0</v>
      </c>
      <c r="AT37" s="9">
        <f>GFA!AT38</f>
        <v>0</v>
      </c>
      <c r="AU37" s="97">
        <f t="shared" si="49"/>
        <v>0</v>
      </c>
      <c r="AV37" s="9">
        <f t="shared" si="50"/>
        <v>0</v>
      </c>
      <c r="AW37" s="115">
        <f t="shared" si="51"/>
        <v>0</v>
      </c>
      <c r="AX37" s="116">
        <f t="shared" si="52"/>
        <v>0</v>
      </c>
      <c r="AY37" s="97">
        <f t="shared" si="58"/>
        <v>0</v>
      </c>
    </row>
    <row r="38" spans="2:51" x14ac:dyDescent="0.35">
      <c r="B38" s="7" t="s">
        <v>146</v>
      </c>
      <c r="C38" s="14">
        <v>0.15</v>
      </c>
      <c r="D38" s="9"/>
      <c r="E38" s="9">
        <f>GFA!D39</f>
        <v>0</v>
      </c>
      <c r="F38" s="9">
        <f>GFA!F39</f>
        <v>0</v>
      </c>
      <c r="G38" s="97">
        <f t="shared" si="30"/>
        <v>0</v>
      </c>
      <c r="H38" s="9">
        <v>0</v>
      </c>
      <c r="I38" s="115">
        <f t="shared" si="31"/>
        <v>0</v>
      </c>
      <c r="J38" s="116">
        <f t="shared" si="32"/>
        <v>0</v>
      </c>
      <c r="K38" s="97">
        <f t="shared" si="53"/>
        <v>0</v>
      </c>
      <c r="L38" s="9"/>
      <c r="M38" s="9">
        <f>GFA!L39</f>
        <v>0</v>
      </c>
      <c r="N38" s="9">
        <f>GFA!N39</f>
        <v>0</v>
      </c>
      <c r="O38" s="97">
        <f t="shared" si="33"/>
        <v>0</v>
      </c>
      <c r="P38" s="9">
        <f t="shared" si="34"/>
        <v>0</v>
      </c>
      <c r="Q38" s="115">
        <f t="shared" si="35"/>
        <v>0</v>
      </c>
      <c r="R38" s="116">
        <f t="shared" si="36"/>
        <v>0</v>
      </c>
      <c r="S38" s="97">
        <f t="shared" si="54"/>
        <v>0</v>
      </c>
      <c r="T38" s="9"/>
      <c r="U38" s="9">
        <f>GFA!T39</f>
        <v>0</v>
      </c>
      <c r="V38" s="9">
        <f>GFA!V39</f>
        <v>0</v>
      </c>
      <c r="W38" s="97">
        <f t="shared" si="37"/>
        <v>0</v>
      </c>
      <c r="X38" s="9">
        <f t="shared" si="38"/>
        <v>0</v>
      </c>
      <c r="Y38" s="115">
        <f t="shared" si="39"/>
        <v>0</v>
      </c>
      <c r="Z38" s="116">
        <f t="shared" si="40"/>
        <v>0</v>
      </c>
      <c r="AA38" s="97">
        <f t="shared" si="55"/>
        <v>0</v>
      </c>
      <c r="AB38" s="9"/>
      <c r="AC38" s="9">
        <f>GFA!AB39</f>
        <v>0</v>
      </c>
      <c r="AD38" s="9">
        <f>GFA!AD39</f>
        <v>0</v>
      </c>
      <c r="AE38" s="97">
        <f t="shared" si="41"/>
        <v>0</v>
      </c>
      <c r="AF38" s="9">
        <f t="shared" si="42"/>
        <v>0</v>
      </c>
      <c r="AG38" s="115">
        <f t="shared" si="43"/>
        <v>0</v>
      </c>
      <c r="AH38" s="116">
        <f t="shared" si="44"/>
        <v>0</v>
      </c>
      <c r="AI38" s="97">
        <f t="shared" si="56"/>
        <v>0</v>
      </c>
      <c r="AJ38" s="9"/>
      <c r="AK38" s="9">
        <f>GFA!AJ39</f>
        <v>0</v>
      </c>
      <c r="AL38" s="9">
        <f>GFA!AL39</f>
        <v>0</v>
      </c>
      <c r="AM38" s="97">
        <f t="shared" si="45"/>
        <v>0</v>
      </c>
      <c r="AN38" s="9">
        <f t="shared" si="46"/>
        <v>0</v>
      </c>
      <c r="AO38" s="115">
        <f t="shared" si="47"/>
        <v>0</v>
      </c>
      <c r="AP38" s="116">
        <f t="shared" si="48"/>
        <v>0</v>
      </c>
      <c r="AQ38" s="97">
        <f t="shared" si="57"/>
        <v>0</v>
      </c>
      <c r="AR38" s="9"/>
      <c r="AS38" s="9">
        <f>GFA!AR39</f>
        <v>0</v>
      </c>
      <c r="AT38" s="9">
        <f>GFA!AT39</f>
        <v>0</v>
      </c>
      <c r="AU38" s="97">
        <f t="shared" si="49"/>
        <v>0</v>
      </c>
      <c r="AV38" s="9">
        <f t="shared" si="50"/>
        <v>0</v>
      </c>
      <c r="AW38" s="115">
        <f t="shared" si="51"/>
        <v>0</v>
      </c>
      <c r="AX38" s="116">
        <f t="shared" si="52"/>
        <v>0</v>
      </c>
      <c r="AY38" s="97">
        <f t="shared" si="58"/>
        <v>0</v>
      </c>
    </row>
    <row r="39" spans="2:51" x14ac:dyDescent="0.35">
      <c r="B39" s="7" t="s">
        <v>147</v>
      </c>
      <c r="C39" s="14">
        <v>0.3</v>
      </c>
      <c r="D39" s="9"/>
      <c r="E39" s="9">
        <f>GFA!D40</f>
        <v>0</v>
      </c>
      <c r="F39" s="9">
        <f>GFA!F40</f>
        <v>0</v>
      </c>
      <c r="G39" s="97">
        <f t="shared" si="30"/>
        <v>0</v>
      </c>
      <c r="H39" s="9">
        <v>0</v>
      </c>
      <c r="I39" s="115">
        <f t="shared" si="31"/>
        <v>0</v>
      </c>
      <c r="J39" s="116">
        <f t="shared" si="32"/>
        <v>0</v>
      </c>
      <c r="K39" s="97">
        <f t="shared" si="53"/>
        <v>0</v>
      </c>
      <c r="L39" s="9"/>
      <c r="M39" s="9">
        <f>GFA!L40</f>
        <v>0</v>
      </c>
      <c r="N39" s="9">
        <f>GFA!N40</f>
        <v>0</v>
      </c>
      <c r="O39" s="97">
        <f t="shared" si="33"/>
        <v>0</v>
      </c>
      <c r="P39" s="9">
        <f t="shared" si="34"/>
        <v>0</v>
      </c>
      <c r="Q39" s="115">
        <f t="shared" si="35"/>
        <v>0</v>
      </c>
      <c r="R39" s="116">
        <f t="shared" si="36"/>
        <v>0</v>
      </c>
      <c r="S39" s="97">
        <f t="shared" si="54"/>
        <v>0</v>
      </c>
      <c r="T39" s="9"/>
      <c r="U39" s="9">
        <f>GFA!T40</f>
        <v>0</v>
      </c>
      <c r="V39" s="9">
        <f>GFA!V40</f>
        <v>0</v>
      </c>
      <c r="W39" s="97">
        <f t="shared" si="37"/>
        <v>0</v>
      </c>
      <c r="X39" s="9">
        <f t="shared" si="38"/>
        <v>0</v>
      </c>
      <c r="Y39" s="115">
        <f t="shared" si="39"/>
        <v>0</v>
      </c>
      <c r="Z39" s="116">
        <f t="shared" si="40"/>
        <v>0</v>
      </c>
      <c r="AA39" s="97">
        <f t="shared" si="55"/>
        <v>0</v>
      </c>
      <c r="AB39" s="9"/>
      <c r="AC39" s="9">
        <f>GFA!AB40</f>
        <v>0</v>
      </c>
      <c r="AD39" s="9">
        <f>GFA!AD40</f>
        <v>0</v>
      </c>
      <c r="AE39" s="97">
        <f t="shared" si="41"/>
        <v>0</v>
      </c>
      <c r="AF39" s="9">
        <f t="shared" si="42"/>
        <v>0</v>
      </c>
      <c r="AG39" s="115">
        <f t="shared" si="43"/>
        <v>0</v>
      </c>
      <c r="AH39" s="116">
        <f t="shared" si="44"/>
        <v>0</v>
      </c>
      <c r="AI39" s="97">
        <f t="shared" si="56"/>
        <v>0</v>
      </c>
      <c r="AJ39" s="9"/>
      <c r="AK39" s="9">
        <f>GFA!AJ40</f>
        <v>0</v>
      </c>
      <c r="AL39" s="9">
        <f>GFA!AL40</f>
        <v>0</v>
      </c>
      <c r="AM39" s="97">
        <f t="shared" si="45"/>
        <v>0</v>
      </c>
      <c r="AN39" s="9">
        <f t="shared" si="46"/>
        <v>0</v>
      </c>
      <c r="AO39" s="115">
        <f t="shared" si="47"/>
        <v>0</v>
      </c>
      <c r="AP39" s="116">
        <f t="shared" si="48"/>
        <v>0</v>
      </c>
      <c r="AQ39" s="97">
        <f t="shared" si="57"/>
        <v>0</v>
      </c>
      <c r="AR39" s="9"/>
      <c r="AS39" s="9">
        <f>GFA!AR40</f>
        <v>0</v>
      </c>
      <c r="AT39" s="9">
        <f>GFA!AT40</f>
        <v>0</v>
      </c>
      <c r="AU39" s="97">
        <f t="shared" si="49"/>
        <v>0</v>
      </c>
      <c r="AV39" s="9">
        <f t="shared" si="50"/>
        <v>0</v>
      </c>
      <c r="AW39" s="115">
        <f t="shared" si="51"/>
        <v>0</v>
      </c>
      <c r="AX39" s="116">
        <f t="shared" si="52"/>
        <v>0</v>
      </c>
      <c r="AY39" s="97">
        <f t="shared" si="58"/>
        <v>0</v>
      </c>
    </row>
    <row r="40" spans="2:51" x14ac:dyDescent="0.35">
      <c r="B40" s="7" t="s">
        <v>148</v>
      </c>
      <c r="C40" s="14">
        <v>0.3</v>
      </c>
      <c r="D40" s="9"/>
      <c r="E40" s="9">
        <f>GFA!D41</f>
        <v>0</v>
      </c>
      <c r="F40" s="9">
        <f>GFA!F41</f>
        <v>0</v>
      </c>
      <c r="G40" s="97">
        <f t="shared" si="30"/>
        <v>0</v>
      </c>
      <c r="H40" s="9">
        <v>0</v>
      </c>
      <c r="I40" s="115">
        <f t="shared" si="31"/>
        <v>0</v>
      </c>
      <c r="J40" s="116">
        <f t="shared" si="32"/>
        <v>0</v>
      </c>
      <c r="K40" s="97">
        <f t="shared" si="53"/>
        <v>0</v>
      </c>
      <c r="L40" s="9"/>
      <c r="M40" s="9">
        <f>GFA!L41</f>
        <v>0</v>
      </c>
      <c r="N40" s="9">
        <f>GFA!N41</f>
        <v>0</v>
      </c>
      <c r="O40" s="97">
        <f t="shared" si="33"/>
        <v>0</v>
      </c>
      <c r="P40" s="9">
        <f t="shared" si="34"/>
        <v>0</v>
      </c>
      <c r="Q40" s="115">
        <f t="shared" si="35"/>
        <v>0</v>
      </c>
      <c r="R40" s="116">
        <f t="shared" si="36"/>
        <v>0</v>
      </c>
      <c r="S40" s="97">
        <f t="shared" si="54"/>
        <v>0</v>
      </c>
      <c r="T40" s="9"/>
      <c r="U40" s="9">
        <f>GFA!T41</f>
        <v>0</v>
      </c>
      <c r="V40" s="9">
        <f>GFA!V41</f>
        <v>0</v>
      </c>
      <c r="W40" s="97">
        <f t="shared" si="37"/>
        <v>0</v>
      </c>
      <c r="X40" s="9">
        <f t="shared" si="38"/>
        <v>0</v>
      </c>
      <c r="Y40" s="115">
        <f t="shared" si="39"/>
        <v>0</v>
      </c>
      <c r="Z40" s="116">
        <f t="shared" si="40"/>
        <v>0</v>
      </c>
      <c r="AA40" s="97">
        <f t="shared" si="55"/>
        <v>0</v>
      </c>
      <c r="AB40" s="9"/>
      <c r="AC40" s="9">
        <f>GFA!AB41</f>
        <v>0</v>
      </c>
      <c r="AD40" s="9">
        <f>GFA!AD41</f>
        <v>0</v>
      </c>
      <c r="AE40" s="97">
        <f t="shared" si="41"/>
        <v>0</v>
      </c>
      <c r="AF40" s="9">
        <f t="shared" si="42"/>
        <v>0</v>
      </c>
      <c r="AG40" s="115">
        <f t="shared" si="43"/>
        <v>0</v>
      </c>
      <c r="AH40" s="116">
        <f t="shared" si="44"/>
        <v>0</v>
      </c>
      <c r="AI40" s="97">
        <f t="shared" si="56"/>
        <v>0</v>
      </c>
      <c r="AJ40" s="9"/>
      <c r="AK40" s="9">
        <f>GFA!AJ41</f>
        <v>0</v>
      </c>
      <c r="AL40" s="9">
        <f>GFA!AL41</f>
        <v>0</v>
      </c>
      <c r="AM40" s="97">
        <f t="shared" si="45"/>
        <v>0</v>
      </c>
      <c r="AN40" s="9">
        <f t="shared" si="46"/>
        <v>0</v>
      </c>
      <c r="AO40" s="115">
        <f t="shared" si="47"/>
        <v>0</v>
      </c>
      <c r="AP40" s="116">
        <f t="shared" si="48"/>
        <v>0</v>
      </c>
      <c r="AQ40" s="97">
        <f t="shared" si="57"/>
        <v>0</v>
      </c>
      <c r="AR40" s="9"/>
      <c r="AS40" s="9">
        <f>GFA!AR41</f>
        <v>0</v>
      </c>
      <c r="AT40" s="9">
        <f>GFA!AT41</f>
        <v>0</v>
      </c>
      <c r="AU40" s="97">
        <f t="shared" si="49"/>
        <v>0</v>
      </c>
      <c r="AV40" s="9">
        <f t="shared" si="50"/>
        <v>0</v>
      </c>
      <c r="AW40" s="115">
        <f t="shared" si="51"/>
        <v>0</v>
      </c>
      <c r="AX40" s="116">
        <f t="shared" si="52"/>
        <v>0</v>
      </c>
      <c r="AY40" s="97">
        <f t="shared" si="58"/>
        <v>0</v>
      </c>
    </row>
    <row r="41" spans="2:51" ht="31" x14ac:dyDescent="0.35">
      <c r="B41" s="84" t="s">
        <v>149</v>
      </c>
      <c r="C41" s="117">
        <v>3.3399999999999999E-2</v>
      </c>
      <c r="D41" s="9"/>
      <c r="E41" s="9">
        <f>GFA!D42</f>
        <v>0</v>
      </c>
      <c r="F41" s="9">
        <f>GFA!F42</f>
        <v>0</v>
      </c>
      <c r="G41" s="97">
        <f t="shared" si="30"/>
        <v>0</v>
      </c>
      <c r="H41" s="9">
        <v>0</v>
      </c>
      <c r="I41" s="115">
        <f t="shared" si="31"/>
        <v>0</v>
      </c>
      <c r="J41" s="116">
        <f t="shared" si="32"/>
        <v>0</v>
      </c>
      <c r="K41" s="97">
        <f t="shared" si="53"/>
        <v>0</v>
      </c>
      <c r="L41" s="9"/>
      <c r="M41" s="9">
        <f>GFA!L42</f>
        <v>0</v>
      </c>
      <c r="N41" s="9">
        <f>GFA!N42</f>
        <v>0</v>
      </c>
      <c r="O41" s="97">
        <f t="shared" si="33"/>
        <v>0</v>
      </c>
      <c r="P41" s="9">
        <f t="shared" si="34"/>
        <v>0</v>
      </c>
      <c r="Q41" s="115">
        <f t="shared" si="35"/>
        <v>0</v>
      </c>
      <c r="R41" s="116">
        <f t="shared" si="36"/>
        <v>0</v>
      </c>
      <c r="S41" s="97">
        <f t="shared" si="54"/>
        <v>0</v>
      </c>
      <c r="T41" s="9"/>
      <c r="U41" s="9">
        <f>GFA!T42</f>
        <v>0</v>
      </c>
      <c r="V41" s="9">
        <f>GFA!V42</f>
        <v>0</v>
      </c>
      <c r="W41" s="97">
        <f t="shared" si="37"/>
        <v>0</v>
      </c>
      <c r="X41" s="9">
        <f t="shared" si="38"/>
        <v>0</v>
      </c>
      <c r="Y41" s="115">
        <f t="shared" si="39"/>
        <v>0</v>
      </c>
      <c r="Z41" s="116">
        <f t="shared" si="40"/>
        <v>0</v>
      </c>
      <c r="AA41" s="97">
        <f t="shared" si="55"/>
        <v>0</v>
      </c>
      <c r="AB41" s="9"/>
      <c r="AC41" s="9">
        <f>GFA!AB42</f>
        <v>0</v>
      </c>
      <c r="AD41" s="9">
        <f>GFA!AD42</f>
        <v>0</v>
      </c>
      <c r="AE41" s="97">
        <f t="shared" si="41"/>
        <v>0</v>
      </c>
      <c r="AF41" s="9">
        <f t="shared" si="42"/>
        <v>0</v>
      </c>
      <c r="AG41" s="115">
        <f t="shared" si="43"/>
        <v>0</v>
      </c>
      <c r="AH41" s="116">
        <f t="shared" si="44"/>
        <v>0</v>
      </c>
      <c r="AI41" s="97">
        <f t="shared" si="56"/>
        <v>0</v>
      </c>
      <c r="AJ41" s="9"/>
      <c r="AK41" s="9">
        <f>GFA!AJ42</f>
        <v>0</v>
      </c>
      <c r="AL41" s="9">
        <f>GFA!AL42</f>
        <v>0</v>
      </c>
      <c r="AM41" s="97">
        <f t="shared" si="45"/>
        <v>0</v>
      </c>
      <c r="AN41" s="9">
        <f t="shared" si="46"/>
        <v>0</v>
      </c>
      <c r="AO41" s="115">
        <f t="shared" si="47"/>
        <v>0</v>
      </c>
      <c r="AP41" s="116">
        <f t="shared" si="48"/>
        <v>0</v>
      </c>
      <c r="AQ41" s="97">
        <f t="shared" si="57"/>
        <v>0</v>
      </c>
      <c r="AR41" s="9"/>
      <c r="AS41" s="9">
        <f>GFA!AR42</f>
        <v>0</v>
      </c>
      <c r="AT41" s="9">
        <f>GFA!AT42</f>
        <v>0</v>
      </c>
      <c r="AU41" s="97">
        <f t="shared" si="49"/>
        <v>0</v>
      </c>
      <c r="AV41" s="9">
        <f t="shared" si="50"/>
        <v>0</v>
      </c>
      <c r="AW41" s="115">
        <f t="shared" si="51"/>
        <v>0</v>
      </c>
      <c r="AX41" s="116">
        <f t="shared" si="52"/>
        <v>0</v>
      </c>
      <c r="AY41" s="97">
        <f t="shared" si="58"/>
        <v>0</v>
      </c>
    </row>
    <row r="42" spans="2:51" x14ac:dyDescent="0.35">
      <c r="B42" s="12" t="s">
        <v>27</v>
      </c>
      <c r="C42" s="12"/>
      <c r="D42" s="13"/>
      <c r="E42" s="13">
        <f t="shared" ref="E42" si="59">SUM(E25:E41)</f>
        <v>3736.4979422751694</v>
      </c>
      <c r="F42" s="13">
        <f t="shared" ref="F42:H42" si="60">SUM(F25:F41)</f>
        <v>54.118562024000006</v>
      </c>
      <c r="G42" s="13">
        <f t="shared" si="60"/>
        <v>3411.5548538692528</v>
      </c>
      <c r="H42" s="13">
        <f t="shared" si="60"/>
        <v>3084.8724252711563</v>
      </c>
      <c r="I42" s="13"/>
      <c r="J42" s="13">
        <f t="shared" ref="J42:K42" si="61">SUM(J25:J41)</f>
        <v>326.68825785592514</v>
      </c>
      <c r="K42" s="13">
        <f t="shared" si="61"/>
        <v>26.083379828640862</v>
      </c>
      <c r="L42" s="13"/>
      <c r="M42" s="13">
        <f t="shared" ref="M42:P42" si="62">SUM(M25:M41)</f>
        <v>3790.6165042991697</v>
      </c>
      <c r="N42" s="13">
        <f t="shared" si="62"/>
        <v>59.891526191000004</v>
      </c>
      <c r="O42" s="13">
        <f t="shared" si="62"/>
        <v>3465.457227441153</v>
      </c>
      <c r="P42" s="13">
        <f t="shared" si="62"/>
        <v>3110.9558050997975</v>
      </c>
      <c r="Q42" s="13"/>
      <c r="R42" s="13">
        <f t="shared" ref="R42:S42" si="63">SUM(R25:R41)</f>
        <v>354.50725159918437</v>
      </c>
      <c r="S42" s="13">
        <f t="shared" si="63"/>
        <v>31.365484138435569</v>
      </c>
      <c r="T42" s="13"/>
      <c r="U42" s="13">
        <f t="shared" ref="U42:X42" si="64">SUM(U25:U41)</f>
        <v>3850.5080304901699</v>
      </c>
      <c r="V42" s="13">
        <f t="shared" si="64"/>
        <v>364.79917030600001</v>
      </c>
      <c r="W42" s="13">
        <f t="shared" si="64"/>
        <v>3793.7764807165522</v>
      </c>
      <c r="X42" s="13">
        <f t="shared" si="64"/>
        <v>3142.321289238233</v>
      </c>
      <c r="Y42" s="13"/>
      <c r="Z42" s="13">
        <f t="shared" ref="Z42:AA42" si="65">SUM(Z25:Z41)</f>
        <v>651.46102073614861</v>
      </c>
      <c r="AA42" s="13">
        <f t="shared" si="65"/>
        <v>65.34974606574265</v>
      </c>
      <c r="AB42" s="13"/>
      <c r="AC42" s="13">
        <f t="shared" ref="AC42:AF42" si="66">SUM(AC25:AC41)</f>
        <v>4211.7595612961686</v>
      </c>
      <c r="AD42" s="13">
        <f t="shared" si="66"/>
        <v>199.16859312299999</v>
      </c>
      <c r="AE42" s="13">
        <f t="shared" si="66"/>
        <v>3969.8353389772524</v>
      </c>
      <c r="AF42" s="13">
        <f t="shared" si="66"/>
        <v>3207.6710353039757</v>
      </c>
      <c r="AG42" s="13"/>
      <c r="AH42" s="13">
        <f t="shared" ref="AH42:AI42" si="67">SUM(AH25:AH41)</f>
        <v>762.17013293110631</v>
      </c>
      <c r="AI42" s="13">
        <f t="shared" si="67"/>
        <v>86.59252992532997</v>
      </c>
      <c r="AJ42" s="13"/>
      <c r="AK42" s="13">
        <f t="shared" ref="AK42:AN42" si="68">SUM(AK25:AK41)</f>
        <v>4410.928154419169</v>
      </c>
      <c r="AL42" s="13">
        <f t="shared" si="68"/>
        <v>149.45147759999998</v>
      </c>
      <c r="AM42" s="13">
        <f t="shared" si="68"/>
        <v>4104.341668817252</v>
      </c>
      <c r="AN42" s="13">
        <f t="shared" si="68"/>
        <v>3294.2635652293056</v>
      </c>
      <c r="AO42" s="13"/>
      <c r="AP42" s="13">
        <f t="shared" ref="AP42:AQ42" si="69">SUM(AP25:AP41)</f>
        <v>810.08393284577619</v>
      </c>
      <c r="AQ42" s="13">
        <f t="shared" si="69"/>
        <v>104.70471421023771</v>
      </c>
      <c r="AR42" s="13"/>
      <c r="AS42" s="13">
        <f t="shared" ref="AS42:AV42" si="70">SUM(AS25:AS41)</f>
        <v>4560.3796320191695</v>
      </c>
      <c r="AT42" s="13">
        <f t="shared" si="70"/>
        <v>920.42908907900005</v>
      </c>
      <c r="AU42" s="13">
        <f t="shared" si="70"/>
        <v>4932.7278489883529</v>
      </c>
      <c r="AV42" s="13">
        <f t="shared" si="70"/>
        <v>3398.968279439543</v>
      </c>
      <c r="AW42" s="13"/>
      <c r="AX42" s="13">
        <f t="shared" ref="AX42:AY42" si="71">SUM(AX25:AX41)</f>
        <v>1533.7653988066388</v>
      </c>
      <c r="AY42" s="13">
        <f t="shared" si="71"/>
        <v>212.7675881017384</v>
      </c>
    </row>
    <row r="43" spans="2:51" x14ac:dyDescent="0.35">
      <c r="B43" s="70" t="s">
        <v>151</v>
      </c>
      <c r="C43" s="70"/>
      <c r="D43" s="118">
        <v>15.93</v>
      </c>
      <c r="E43" s="7"/>
      <c r="F43" s="7"/>
      <c r="G43" s="7"/>
      <c r="H43" s="7"/>
      <c r="I43" s="7"/>
      <c r="J43" s="7"/>
      <c r="K43" s="7"/>
      <c r="L43" s="118">
        <f>D43-1</f>
        <v>14.93</v>
      </c>
      <c r="M43" s="7"/>
      <c r="N43" s="7"/>
      <c r="O43" s="7"/>
      <c r="P43" s="7"/>
      <c r="Q43" s="7"/>
      <c r="R43" s="7"/>
      <c r="S43" s="7"/>
      <c r="T43" s="118">
        <f>L43-1</f>
        <v>13.93</v>
      </c>
      <c r="U43" s="7"/>
      <c r="V43" s="7"/>
      <c r="W43" s="7"/>
      <c r="X43" s="7"/>
      <c r="Y43" s="7"/>
      <c r="Z43" s="7"/>
      <c r="AA43" s="7"/>
      <c r="AB43" s="118">
        <f>T43-1</f>
        <v>12.93</v>
      </c>
      <c r="AC43" s="7"/>
      <c r="AD43" s="7"/>
      <c r="AE43" s="7"/>
      <c r="AF43" s="7"/>
      <c r="AG43" s="7"/>
      <c r="AH43" s="7"/>
      <c r="AI43" s="7"/>
      <c r="AJ43" s="118">
        <f>AB43-1</f>
        <v>11.93</v>
      </c>
      <c r="AK43" s="7"/>
      <c r="AL43" s="7"/>
      <c r="AM43" s="7"/>
      <c r="AN43" s="7"/>
      <c r="AO43" s="7"/>
      <c r="AP43" s="7"/>
      <c r="AQ43" s="7"/>
      <c r="AR43" s="118">
        <f>AJ43-1</f>
        <v>10.93</v>
      </c>
      <c r="AS43" s="9"/>
      <c r="AT43" s="9"/>
      <c r="AU43" s="9"/>
      <c r="AV43" s="9"/>
      <c r="AW43" s="9"/>
      <c r="AX43" s="9"/>
      <c r="AY43" s="9"/>
    </row>
    <row r="44" spans="2:51" x14ac:dyDescent="0.35">
      <c r="B44" s="7" t="s">
        <v>133</v>
      </c>
      <c r="C44" s="14">
        <v>0</v>
      </c>
      <c r="D44" s="9"/>
      <c r="E44" s="9">
        <f>GFA!D45</f>
        <v>6.2520407000000002</v>
      </c>
      <c r="F44" s="9">
        <f>GFA!F45</f>
        <v>0</v>
      </c>
      <c r="G44" s="97">
        <f t="shared" ref="G44:G60" si="72">90%*(E44+F44)</f>
        <v>5.6268366300000006</v>
      </c>
      <c r="H44" s="9">
        <v>0</v>
      </c>
      <c r="I44" s="115">
        <f t="shared" ref="I44:I60" si="73">IFERROR(H44/G44,0)</f>
        <v>0</v>
      </c>
      <c r="J44" s="116">
        <f t="shared" ref="J44:J60" si="74">MAX(G44-H44,0)</f>
        <v>5.6268366300000006</v>
      </c>
      <c r="K44" s="97">
        <f>IF(I44&lt;70%,MIN(J44,(E44+F44/2)*$C44),J44/D$43)</f>
        <v>0</v>
      </c>
      <c r="L44" s="9"/>
      <c r="M44" s="9">
        <f>GFA!L45</f>
        <v>6.2520407000000002</v>
      </c>
      <c r="N44" s="9">
        <f>GFA!N45</f>
        <v>0.19436614291960824</v>
      </c>
      <c r="O44" s="97">
        <f t="shared" ref="O44:O60" si="75">90%*(M44+N44)</f>
        <v>5.8017661586276477</v>
      </c>
      <c r="P44" s="9">
        <f t="shared" ref="P44:P60" si="76">H44+K44</f>
        <v>0</v>
      </c>
      <c r="Q44" s="115">
        <f t="shared" ref="Q44:Q60" si="77">IFERROR(P44/O44,0)</f>
        <v>0</v>
      </c>
      <c r="R44" s="116">
        <f t="shared" ref="R44:R60" si="78">MAX(O44-P44,0)</f>
        <v>5.8017661586276477</v>
      </c>
      <c r="S44" s="97">
        <f>IF(Q44&lt;70%,MIN(R44,(M44+N44/2)*$C44),R44/L$43)</f>
        <v>0</v>
      </c>
      <c r="T44" s="9"/>
      <c r="U44" s="9">
        <f>GFA!T45</f>
        <v>6.4464068429196084</v>
      </c>
      <c r="V44" s="9">
        <f>GFA!V45</f>
        <v>1.3610522397304188E-2</v>
      </c>
      <c r="W44" s="97">
        <f t="shared" ref="W44:W60" si="79">90%*(U44+V44)</f>
        <v>5.8140156287852216</v>
      </c>
      <c r="X44" s="9">
        <f t="shared" ref="X44:X60" si="80">P44+S44</f>
        <v>0</v>
      </c>
      <c r="Y44" s="115">
        <f t="shared" ref="Y44:Y60" si="81">IFERROR(X44/W44,0)</f>
        <v>0</v>
      </c>
      <c r="Z44" s="116">
        <f t="shared" ref="Z44:Z60" si="82">MAX(W44-X44,0)</f>
        <v>5.8140156287852216</v>
      </c>
      <c r="AA44" s="97">
        <f>IF(Y44&lt;70%,MIN(Z44,(U44+V44/2)*$C44),Z44/T$43)</f>
        <v>0</v>
      </c>
      <c r="AB44" s="9"/>
      <c r="AC44" s="9">
        <f>GFA!AB45</f>
        <v>6.4600173653169124</v>
      </c>
      <c r="AD44" s="9">
        <f>GFA!AD45</f>
        <v>0</v>
      </c>
      <c r="AE44" s="97">
        <f t="shared" ref="AE44:AE60" si="83">90%*(AC44+AD44)</f>
        <v>5.8140156287852216</v>
      </c>
      <c r="AF44" s="9">
        <f t="shared" ref="AF44:AF60" si="84">X44+AA44</f>
        <v>0</v>
      </c>
      <c r="AG44" s="115">
        <f t="shared" ref="AG44:AG60" si="85">IFERROR(AF44/AE44,0)</f>
        <v>0</v>
      </c>
      <c r="AH44" s="116">
        <f t="shared" ref="AH44:AH60" si="86">MAX(AE44-AF44,0)</f>
        <v>5.8140156287852216</v>
      </c>
      <c r="AI44" s="97">
        <f>IF(AG44&lt;70%,MIN(AH44,(AC44+AD44/2)*$C44),AH44/AB$43)</f>
        <v>0</v>
      </c>
      <c r="AJ44" s="9"/>
      <c r="AK44" s="9">
        <f>GFA!AJ45</f>
        <v>6.4600173653169124</v>
      </c>
      <c r="AL44" s="9">
        <f>GFA!AL45</f>
        <v>0</v>
      </c>
      <c r="AM44" s="97">
        <f t="shared" ref="AM44:AM60" si="87">90%*(AK44+AL44)</f>
        <v>5.8140156287852216</v>
      </c>
      <c r="AN44" s="9">
        <f t="shared" ref="AN44:AN60" si="88">AF44+AI44</f>
        <v>0</v>
      </c>
      <c r="AO44" s="115">
        <f t="shared" ref="AO44:AO60" si="89">IFERROR(AN44/AM44,0)</f>
        <v>0</v>
      </c>
      <c r="AP44" s="116">
        <f t="shared" ref="AP44:AP60" si="90">MAX(AM44-AN44,0)</f>
        <v>5.8140156287852216</v>
      </c>
      <c r="AQ44" s="97">
        <f>IF(AO44&lt;70%,MIN(AP44,(AK44+AL44/2)*$C44),AP44/AJ$43)</f>
        <v>0</v>
      </c>
      <c r="AR44" s="9"/>
      <c r="AS44" s="9">
        <f>GFA!AR45</f>
        <v>6.4600173653169124</v>
      </c>
      <c r="AT44" s="9">
        <f>GFA!AT45</f>
        <v>0</v>
      </c>
      <c r="AU44" s="97">
        <f t="shared" ref="AU44:AU60" si="91">90%*(AS44+AT44)</f>
        <v>5.8140156287852216</v>
      </c>
      <c r="AV44" s="9">
        <f t="shared" ref="AV44:AV60" si="92">AN44+AQ44</f>
        <v>0</v>
      </c>
      <c r="AW44" s="115">
        <f t="shared" ref="AW44:AW60" si="93">IFERROR(AV44/AU44,0)</f>
        <v>0</v>
      </c>
      <c r="AX44" s="116">
        <f t="shared" ref="AX44:AX60" si="94">MAX(AU44-AV44,0)</f>
        <v>5.8140156287852216</v>
      </c>
      <c r="AY44" s="97">
        <f>IF(AW44&lt;70%,MIN(AX44,(AS44+AT44/2)*$C44),AX44/AR$43)</f>
        <v>0</v>
      </c>
    </row>
    <row r="45" spans="2:51" x14ac:dyDescent="0.35">
      <c r="B45" s="7" t="s">
        <v>134</v>
      </c>
      <c r="C45" s="14">
        <v>3.3399999999999999E-2</v>
      </c>
      <c r="D45" s="9"/>
      <c r="E45" s="9">
        <f>GFA!D46</f>
        <v>165.72420020000001</v>
      </c>
      <c r="F45" s="9">
        <f>GFA!F46</f>
        <v>0</v>
      </c>
      <c r="G45" s="97">
        <f t="shared" si="72"/>
        <v>149.15178018</v>
      </c>
      <c r="H45" s="9">
        <v>128.09337182738733</v>
      </c>
      <c r="I45" s="115">
        <f t="shared" si="73"/>
        <v>0.85881222250784484</v>
      </c>
      <c r="J45" s="116">
        <f t="shared" si="74"/>
        <v>21.058408352612673</v>
      </c>
      <c r="K45" s="97">
        <f t="shared" ref="K45:K60" si="95">IF(I45&lt;70%,MIN(J45,(E45+F45/2)*$C45),J45/D$43)</f>
        <v>1.3219339832148571</v>
      </c>
      <c r="L45" s="9"/>
      <c r="M45" s="9">
        <f>GFA!L46</f>
        <v>165.72420020000001</v>
      </c>
      <c r="N45" s="9">
        <f>GFA!N46</f>
        <v>0</v>
      </c>
      <c r="O45" s="97">
        <f t="shared" si="75"/>
        <v>149.15178018</v>
      </c>
      <c r="P45" s="9">
        <f t="shared" si="76"/>
        <v>129.41530581060218</v>
      </c>
      <c r="Q45" s="115">
        <f t="shared" si="77"/>
        <v>0.86767523427759718</v>
      </c>
      <c r="R45" s="116">
        <f t="shared" si="78"/>
        <v>19.736474369397826</v>
      </c>
      <c r="S45" s="97">
        <f t="shared" ref="S45:S60" si="96">IF(Q45&lt;70%,MIN(R45,(M45+N45/2)*$C45),R45/L$43)</f>
        <v>1.3219339832148578</v>
      </c>
      <c r="T45" s="9"/>
      <c r="U45" s="9">
        <f>GFA!T46</f>
        <v>165.72420020000001</v>
      </c>
      <c r="V45" s="9">
        <f>GFA!V46</f>
        <v>0</v>
      </c>
      <c r="W45" s="97">
        <f t="shared" si="79"/>
        <v>149.15178018</v>
      </c>
      <c r="X45" s="9">
        <f t="shared" si="80"/>
        <v>130.73723979381703</v>
      </c>
      <c r="Y45" s="115">
        <f t="shared" si="81"/>
        <v>0.87653824604734942</v>
      </c>
      <c r="Z45" s="116">
        <f t="shared" si="82"/>
        <v>18.414540386182978</v>
      </c>
      <c r="AA45" s="97">
        <f t="shared" ref="AA45:AA60" si="97">IF(Y45&lt;70%,MIN(Z45,(U45+V45/2)*$C45),Z45/T$43)</f>
        <v>1.3219339832148584</v>
      </c>
      <c r="AB45" s="9"/>
      <c r="AC45" s="9">
        <f>GFA!AB46</f>
        <v>165.72420020000001</v>
      </c>
      <c r="AD45" s="9">
        <f>GFA!AD46</f>
        <v>0</v>
      </c>
      <c r="AE45" s="97">
        <f t="shared" si="83"/>
        <v>149.15178018</v>
      </c>
      <c r="AF45" s="9">
        <f t="shared" si="84"/>
        <v>132.05917377703187</v>
      </c>
      <c r="AG45" s="115">
        <f t="shared" si="85"/>
        <v>0.88540125781710177</v>
      </c>
      <c r="AH45" s="116">
        <f t="shared" si="86"/>
        <v>17.09260640296813</v>
      </c>
      <c r="AI45" s="97">
        <f t="shared" ref="AI45:AI60" si="98">IF(AG45&lt;70%,MIN(AH45,(AC45+AD45/2)*$C45),AH45/AB$43)</f>
        <v>1.3219339832148593</v>
      </c>
      <c r="AJ45" s="9"/>
      <c r="AK45" s="9">
        <f>GFA!AJ46</f>
        <v>165.72420020000001</v>
      </c>
      <c r="AL45" s="9">
        <f>GFA!AL46</f>
        <v>0</v>
      </c>
      <c r="AM45" s="97">
        <f t="shared" si="87"/>
        <v>149.15178018</v>
      </c>
      <c r="AN45" s="9">
        <f t="shared" si="88"/>
        <v>133.38110776024672</v>
      </c>
      <c r="AO45" s="115">
        <f t="shared" si="89"/>
        <v>0.89426426958685412</v>
      </c>
      <c r="AP45" s="116">
        <f t="shared" si="90"/>
        <v>15.770672419753282</v>
      </c>
      <c r="AQ45" s="97">
        <f t="shared" ref="AQ45:AQ60" si="99">IF(AO45&lt;70%,MIN(AP45,(AK45+AL45/2)*$C45),AP45/AJ$43)</f>
        <v>1.3219339832148602</v>
      </c>
      <c r="AR45" s="9"/>
      <c r="AS45" s="9">
        <f>GFA!AR46</f>
        <v>165.72420020000001</v>
      </c>
      <c r="AT45" s="9">
        <f>GFA!AT46</f>
        <v>0</v>
      </c>
      <c r="AU45" s="97">
        <f t="shared" si="91"/>
        <v>149.15178018</v>
      </c>
      <c r="AV45" s="9">
        <f t="shared" si="92"/>
        <v>134.70304174346157</v>
      </c>
      <c r="AW45" s="115">
        <f t="shared" si="93"/>
        <v>0.90312728135660636</v>
      </c>
      <c r="AX45" s="116">
        <f t="shared" si="94"/>
        <v>14.448738436538434</v>
      </c>
      <c r="AY45" s="97">
        <f t="shared" ref="AY45:AY60" si="100">IF(AW45&lt;70%,MIN(AX45,(AS45+AT45/2)*$C45),AX45/AR$43)</f>
        <v>1.3219339832148613</v>
      </c>
    </row>
    <row r="46" spans="2:51" ht="31" x14ac:dyDescent="0.35">
      <c r="B46" s="84" t="s">
        <v>135</v>
      </c>
      <c r="C46" s="117">
        <v>5.28E-2</v>
      </c>
      <c r="D46" s="9"/>
      <c r="E46" s="9">
        <f>GFA!D47</f>
        <v>0</v>
      </c>
      <c r="F46" s="9">
        <f>GFA!F47</f>
        <v>0</v>
      </c>
      <c r="G46" s="97">
        <f t="shared" si="72"/>
        <v>0</v>
      </c>
      <c r="H46" s="9">
        <v>0</v>
      </c>
      <c r="I46" s="115">
        <f t="shared" si="73"/>
        <v>0</v>
      </c>
      <c r="J46" s="116">
        <f t="shared" si="74"/>
        <v>0</v>
      </c>
      <c r="K46" s="97">
        <f t="shared" si="95"/>
        <v>0</v>
      </c>
      <c r="L46" s="9"/>
      <c r="M46" s="9">
        <f>GFA!L47</f>
        <v>0</v>
      </c>
      <c r="N46" s="9">
        <f>GFA!N47</f>
        <v>0</v>
      </c>
      <c r="O46" s="97">
        <f t="shared" si="75"/>
        <v>0</v>
      </c>
      <c r="P46" s="9">
        <f t="shared" si="76"/>
        <v>0</v>
      </c>
      <c r="Q46" s="115">
        <f t="shared" si="77"/>
        <v>0</v>
      </c>
      <c r="R46" s="116">
        <f t="shared" si="78"/>
        <v>0</v>
      </c>
      <c r="S46" s="97">
        <f t="shared" si="96"/>
        <v>0</v>
      </c>
      <c r="T46" s="9"/>
      <c r="U46" s="9">
        <f>GFA!T47</f>
        <v>0</v>
      </c>
      <c r="V46" s="9">
        <f>GFA!V47</f>
        <v>0</v>
      </c>
      <c r="W46" s="97">
        <f t="shared" si="79"/>
        <v>0</v>
      </c>
      <c r="X46" s="9">
        <f t="shared" si="80"/>
        <v>0</v>
      </c>
      <c r="Y46" s="115">
        <f t="shared" si="81"/>
        <v>0</v>
      </c>
      <c r="Z46" s="116">
        <f t="shared" si="82"/>
        <v>0</v>
      </c>
      <c r="AA46" s="97">
        <f t="shared" si="97"/>
        <v>0</v>
      </c>
      <c r="AB46" s="9"/>
      <c r="AC46" s="9">
        <f>GFA!AB47</f>
        <v>0</v>
      </c>
      <c r="AD46" s="9">
        <f>GFA!AD47</f>
        <v>0</v>
      </c>
      <c r="AE46" s="97">
        <f t="shared" si="83"/>
        <v>0</v>
      </c>
      <c r="AF46" s="9">
        <f t="shared" si="84"/>
        <v>0</v>
      </c>
      <c r="AG46" s="115">
        <f t="shared" si="85"/>
        <v>0</v>
      </c>
      <c r="AH46" s="116">
        <f t="shared" si="86"/>
        <v>0</v>
      </c>
      <c r="AI46" s="97">
        <f t="shared" si="98"/>
        <v>0</v>
      </c>
      <c r="AJ46" s="9"/>
      <c r="AK46" s="9">
        <f>GFA!AJ47</f>
        <v>0</v>
      </c>
      <c r="AL46" s="9">
        <f>GFA!AL47</f>
        <v>0</v>
      </c>
      <c r="AM46" s="97">
        <f t="shared" si="87"/>
        <v>0</v>
      </c>
      <c r="AN46" s="9">
        <f t="shared" si="88"/>
        <v>0</v>
      </c>
      <c r="AO46" s="115">
        <f t="shared" si="89"/>
        <v>0</v>
      </c>
      <c r="AP46" s="116">
        <f t="shared" si="90"/>
        <v>0</v>
      </c>
      <c r="AQ46" s="97">
        <f t="shared" si="99"/>
        <v>0</v>
      </c>
      <c r="AR46" s="9"/>
      <c r="AS46" s="9">
        <f>GFA!AR47</f>
        <v>0</v>
      </c>
      <c r="AT46" s="9">
        <f>GFA!AT47</f>
        <v>0</v>
      </c>
      <c r="AU46" s="97">
        <f t="shared" si="91"/>
        <v>0</v>
      </c>
      <c r="AV46" s="9">
        <f t="shared" si="92"/>
        <v>0</v>
      </c>
      <c r="AW46" s="115">
        <f t="shared" si="93"/>
        <v>0</v>
      </c>
      <c r="AX46" s="116">
        <f t="shared" si="94"/>
        <v>0</v>
      </c>
      <c r="AY46" s="97">
        <f t="shared" si="100"/>
        <v>0</v>
      </c>
    </row>
    <row r="47" spans="2:51" x14ac:dyDescent="0.35">
      <c r="B47" s="7" t="s">
        <v>136</v>
      </c>
      <c r="C47" s="14">
        <v>5.28E-2</v>
      </c>
      <c r="D47" s="9"/>
      <c r="E47" s="9">
        <f>GFA!D48</f>
        <v>139.6812347</v>
      </c>
      <c r="F47" s="9">
        <f>GFA!F48</f>
        <v>0</v>
      </c>
      <c r="G47" s="97">
        <f t="shared" si="72"/>
        <v>125.71311123000001</v>
      </c>
      <c r="H47" s="9">
        <v>104.86107820857144</v>
      </c>
      <c r="I47" s="115">
        <f t="shared" si="73"/>
        <v>0.83413000587282848</v>
      </c>
      <c r="J47" s="116">
        <f t="shared" si="74"/>
        <v>20.852033021428568</v>
      </c>
      <c r="K47" s="97">
        <f t="shared" si="95"/>
        <v>1.3089788462918122</v>
      </c>
      <c r="L47" s="9"/>
      <c r="M47" s="9">
        <f>GFA!L48</f>
        <v>139.6812347</v>
      </c>
      <c r="N47" s="9">
        <f>GFA!N48</f>
        <v>0</v>
      </c>
      <c r="O47" s="97">
        <f t="shared" si="75"/>
        <v>125.71311123000001</v>
      </c>
      <c r="P47" s="9">
        <f t="shared" si="76"/>
        <v>106.17005705486325</v>
      </c>
      <c r="Q47" s="115">
        <f t="shared" si="77"/>
        <v>0.84454243488269476</v>
      </c>
      <c r="R47" s="116">
        <f t="shared" si="78"/>
        <v>19.54305417513676</v>
      </c>
      <c r="S47" s="97">
        <f t="shared" si="96"/>
        <v>1.3089788462918124</v>
      </c>
      <c r="T47" s="9"/>
      <c r="U47" s="9">
        <f>GFA!T48</f>
        <v>139.6812347</v>
      </c>
      <c r="V47" s="9">
        <f>GFA!V48</f>
        <v>0</v>
      </c>
      <c r="W47" s="97">
        <f t="shared" si="79"/>
        <v>125.71311123000001</v>
      </c>
      <c r="X47" s="9">
        <f t="shared" si="80"/>
        <v>107.47903590115506</v>
      </c>
      <c r="Y47" s="115">
        <f t="shared" si="81"/>
        <v>0.85495486389256115</v>
      </c>
      <c r="Z47" s="116">
        <f t="shared" si="82"/>
        <v>18.234075328844952</v>
      </c>
      <c r="AA47" s="97">
        <f t="shared" si="97"/>
        <v>1.3089788462918128</v>
      </c>
      <c r="AB47" s="9"/>
      <c r="AC47" s="9">
        <f>GFA!AB48</f>
        <v>139.6812347</v>
      </c>
      <c r="AD47" s="9">
        <f>GFA!AD48</f>
        <v>0</v>
      </c>
      <c r="AE47" s="97">
        <f t="shared" si="83"/>
        <v>125.71311123000001</v>
      </c>
      <c r="AF47" s="9">
        <f t="shared" si="84"/>
        <v>108.78801474744687</v>
      </c>
      <c r="AG47" s="115">
        <f t="shared" si="85"/>
        <v>0.86536729290242753</v>
      </c>
      <c r="AH47" s="116">
        <f t="shared" si="86"/>
        <v>16.925096482553144</v>
      </c>
      <c r="AI47" s="97">
        <f t="shared" si="98"/>
        <v>1.3089788462918133</v>
      </c>
      <c r="AJ47" s="9"/>
      <c r="AK47" s="9">
        <f>GFA!AJ48</f>
        <v>139.6812347</v>
      </c>
      <c r="AL47" s="9">
        <f>GFA!AL48</f>
        <v>0</v>
      </c>
      <c r="AM47" s="97">
        <f t="shared" si="87"/>
        <v>125.71311123000001</v>
      </c>
      <c r="AN47" s="9">
        <f t="shared" si="88"/>
        <v>110.09699359373867</v>
      </c>
      <c r="AO47" s="115">
        <f t="shared" si="89"/>
        <v>0.87577972191229381</v>
      </c>
      <c r="AP47" s="116">
        <f t="shared" si="90"/>
        <v>15.616117636261336</v>
      </c>
      <c r="AQ47" s="97">
        <f t="shared" si="99"/>
        <v>1.3089788462918137</v>
      </c>
      <c r="AR47" s="9"/>
      <c r="AS47" s="9">
        <f>GFA!AR48</f>
        <v>139.6812347</v>
      </c>
      <c r="AT47" s="9">
        <f>GFA!AT48</f>
        <v>0</v>
      </c>
      <c r="AU47" s="97">
        <f t="shared" si="91"/>
        <v>125.71311123000001</v>
      </c>
      <c r="AV47" s="9">
        <f t="shared" si="92"/>
        <v>111.40597244003048</v>
      </c>
      <c r="AW47" s="115">
        <f t="shared" si="93"/>
        <v>0.88619215092216019</v>
      </c>
      <c r="AX47" s="116">
        <f t="shared" si="94"/>
        <v>14.307138789969528</v>
      </c>
      <c r="AY47" s="97">
        <f t="shared" si="100"/>
        <v>1.3089788462918142</v>
      </c>
    </row>
    <row r="48" spans="2:51" x14ac:dyDescent="0.35">
      <c r="B48" s="7" t="s">
        <v>137</v>
      </c>
      <c r="C48" s="14">
        <v>3.3399999999999999E-2</v>
      </c>
      <c r="D48" s="9"/>
      <c r="E48" s="9">
        <f>GFA!D49</f>
        <v>242.07812558199998</v>
      </c>
      <c r="F48" s="9">
        <f>GFA!F49</f>
        <v>2.4001457694768318</v>
      </c>
      <c r="G48" s="97">
        <f t="shared" si="72"/>
        <v>220.03044421632913</v>
      </c>
      <c r="H48" s="9">
        <v>160.25742702174213</v>
      </c>
      <c r="I48" s="115">
        <f t="shared" si="73"/>
        <v>0.72834206008410607</v>
      </c>
      <c r="J48" s="116">
        <f t="shared" si="74"/>
        <v>59.773017194586998</v>
      </c>
      <c r="K48" s="97">
        <f t="shared" si="95"/>
        <v>3.7522295790701192</v>
      </c>
      <c r="L48" s="9"/>
      <c r="M48" s="9">
        <f>GFA!L49</f>
        <v>244.47250402247681</v>
      </c>
      <c r="N48" s="9">
        <f>GFA!N49</f>
        <v>0</v>
      </c>
      <c r="O48" s="97">
        <f t="shared" si="75"/>
        <v>220.02525362022914</v>
      </c>
      <c r="P48" s="9">
        <f t="shared" si="76"/>
        <v>164.00965660081226</v>
      </c>
      <c r="Q48" s="115">
        <f t="shared" si="77"/>
        <v>0.74541287375992915</v>
      </c>
      <c r="R48" s="116">
        <f t="shared" si="78"/>
        <v>56.015597019416873</v>
      </c>
      <c r="S48" s="97">
        <f t="shared" si="96"/>
        <v>3.7518819169066897</v>
      </c>
      <c r="T48" s="9"/>
      <c r="U48" s="9">
        <f>GFA!T49</f>
        <v>244.47250402247681</v>
      </c>
      <c r="V48" s="9">
        <f>GFA!V49</f>
        <v>0.649562886705224</v>
      </c>
      <c r="W48" s="97">
        <f t="shared" si="79"/>
        <v>220.60986021826383</v>
      </c>
      <c r="X48" s="9">
        <f t="shared" si="80"/>
        <v>167.76153851771895</v>
      </c>
      <c r="Y48" s="115">
        <f t="shared" si="81"/>
        <v>0.76044442597326078</v>
      </c>
      <c r="Z48" s="116">
        <f t="shared" si="82"/>
        <v>52.848321700544886</v>
      </c>
      <c r="AA48" s="97">
        <f t="shared" si="97"/>
        <v>3.7938493683090373</v>
      </c>
      <c r="AB48" s="9"/>
      <c r="AC48" s="9">
        <f>GFA!AB49</f>
        <v>242.48504837818203</v>
      </c>
      <c r="AD48" s="9">
        <f>GFA!AD49</f>
        <v>0</v>
      </c>
      <c r="AE48" s="97">
        <f t="shared" si="83"/>
        <v>218.23654354036384</v>
      </c>
      <c r="AF48" s="9">
        <f t="shared" si="84"/>
        <v>171.55538788602797</v>
      </c>
      <c r="AG48" s="115">
        <f t="shared" si="85"/>
        <v>0.78609835503694192</v>
      </c>
      <c r="AH48" s="116">
        <f t="shared" si="86"/>
        <v>46.681155654335868</v>
      </c>
      <c r="AI48" s="97">
        <f t="shared" si="98"/>
        <v>3.6102981944575303</v>
      </c>
      <c r="AJ48" s="9"/>
      <c r="AK48" s="9">
        <f>GFA!AJ49</f>
        <v>242.48504837818203</v>
      </c>
      <c r="AL48" s="9">
        <f>GFA!AL49</f>
        <v>0</v>
      </c>
      <c r="AM48" s="97">
        <f t="shared" si="87"/>
        <v>218.23654354036384</v>
      </c>
      <c r="AN48" s="9">
        <f t="shared" si="88"/>
        <v>175.1656860804855</v>
      </c>
      <c r="AO48" s="115">
        <f t="shared" si="89"/>
        <v>0.8026414056914708</v>
      </c>
      <c r="AP48" s="116">
        <f t="shared" si="90"/>
        <v>43.07085745987834</v>
      </c>
      <c r="AQ48" s="97">
        <f t="shared" si="99"/>
        <v>3.6102981944575308</v>
      </c>
      <c r="AR48" s="9"/>
      <c r="AS48" s="9">
        <f>GFA!AR49</f>
        <v>242.48504837818203</v>
      </c>
      <c r="AT48" s="9">
        <f>GFA!AT49</f>
        <v>0</v>
      </c>
      <c r="AU48" s="97">
        <f t="shared" si="91"/>
        <v>218.23654354036384</v>
      </c>
      <c r="AV48" s="9">
        <f t="shared" si="92"/>
        <v>178.77598427494303</v>
      </c>
      <c r="AW48" s="115">
        <f t="shared" si="93"/>
        <v>0.81918445634599957</v>
      </c>
      <c r="AX48" s="116">
        <f t="shared" si="94"/>
        <v>39.460559265420812</v>
      </c>
      <c r="AY48" s="97">
        <f t="shared" si="100"/>
        <v>3.6102981944575308</v>
      </c>
    </row>
    <row r="49" spans="2:51" x14ac:dyDescent="0.35">
      <c r="B49" s="7" t="s">
        <v>138</v>
      </c>
      <c r="C49" s="14">
        <v>5.28E-2</v>
      </c>
      <c r="D49" s="9"/>
      <c r="E49" s="9">
        <f>GFA!D50</f>
        <v>1982.7465974524669</v>
      </c>
      <c r="F49" s="9">
        <f>GFA!F50</f>
        <v>7.2428454645208173</v>
      </c>
      <c r="G49" s="97">
        <f t="shared" si="72"/>
        <v>1790.9904986252889</v>
      </c>
      <c r="H49" s="9">
        <v>1594.1935609068776</v>
      </c>
      <c r="I49" s="115">
        <f t="shared" si="73"/>
        <v>0.89011837981861608</v>
      </c>
      <c r="J49" s="116">
        <f t="shared" si="74"/>
        <v>196.7969377184113</v>
      </c>
      <c r="K49" s="97">
        <f t="shared" si="95"/>
        <v>12.353856730597069</v>
      </c>
      <c r="L49" s="9"/>
      <c r="M49" s="9">
        <f>GFA!L50</f>
        <v>1989.9894429169876</v>
      </c>
      <c r="N49" s="9">
        <f>GFA!N50</f>
        <v>11.950256176575136</v>
      </c>
      <c r="O49" s="97">
        <f t="shared" si="75"/>
        <v>1801.7457291842065</v>
      </c>
      <c r="P49" s="9">
        <f t="shared" si="76"/>
        <v>1606.5474176374746</v>
      </c>
      <c r="Q49" s="115">
        <f t="shared" si="77"/>
        <v>0.89166156556668308</v>
      </c>
      <c r="R49" s="116">
        <f t="shared" si="78"/>
        <v>195.19831154673193</v>
      </c>
      <c r="S49" s="97">
        <f t="shared" si="96"/>
        <v>13.074233861134088</v>
      </c>
      <c r="T49" s="9"/>
      <c r="U49" s="9">
        <f>GFA!T50</f>
        <v>1999.7273422935627</v>
      </c>
      <c r="V49" s="9">
        <f>GFA!V50</f>
        <v>29.836371889191366</v>
      </c>
      <c r="W49" s="97">
        <f t="shared" si="79"/>
        <v>1826.6073427644787</v>
      </c>
      <c r="X49" s="9">
        <f t="shared" si="80"/>
        <v>1619.6216514986088</v>
      </c>
      <c r="Y49" s="115">
        <f t="shared" si="81"/>
        <v>0.88668298521530775</v>
      </c>
      <c r="Z49" s="116">
        <f t="shared" si="82"/>
        <v>206.98569126586995</v>
      </c>
      <c r="AA49" s="97">
        <f t="shared" si="97"/>
        <v>14.858987169122035</v>
      </c>
      <c r="AB49" s="9"/>
      <c r="AC49" s="9">
        <f>GFA!AB50</f>
        <v>2017.7919115827542</v>
      </c>
      <c r="AD49" s="9">
        <f>GFA!AD50</f>
        <v>45.77</v>
      </c>
      <c r="AE49" s="97">
        <f t="shared" si="83"/>
        <v>1857.2057204244791</v>
      </c>
      <c r="AF49" s="9">
        <f t="shared" si="84"/>
        <v>1634.4806386677308</v>
      </c>
      <c r="AG49" s="115">
        <f t="shared" si="85"/>
        <v>0.88007516921397233</v>
      </c>
      <c r="AH49" s="116">
        <f t="shared" si="86"/>
        <v>222.7250817567483</v>
      </c>
      <c r="AI49" s="97">
        <f t="shared" si="98"/>
        <v>17.225451025270559</v>
      </c>
      <c r="AJ49" s="9"/>
      <c r="AK49" s="9">
        <f>GFA!AJ50</f>
        <v>2063.5619115827544</v>
      </c>
      <c r="AL49" s="9">
        <f>GFA!AL50</f>
        <v>421.13</v>
      </c>
      <c r="AM49" s="97">
        <f t="shared" si="87"/>
        <v>2236.2227204244791</v>
      </c>
      <c r="AN49" s="9">
        <f t="shared" si="88"/>
        <v>1651.7060896930013</v>
      </c>
      <c r="AO49" s="115">
        <f t="shared" si="89"/>
        <v>0.73861430465185285</v>
      </c>
      <c r="AP49" s="116">
        <f t="shared" si="90"/>
        <v>584.51663073147779</v>
      </c>
      <c r="AQ49" s="97">
        <f t="shared" si="99"/>
        <v>48.995526465337619</v>
      </c>
      <c r="AR49" s="9"/>
      <c r="AS49" s="9">
        <f>GFA!AR50</f>
        <v>2484.6919115827545</v>
      </c>
      <c r="AT49" s="9">
        <f>GFA!AT50</f>
        <v>101.01282827980815</v>
      </c>
      <c r="AU49" s="97">
        <f t="shared" si="91"/>
        <v>2327.1342658763065</v>
      </c>
      <c r="AV49" s="9">
        <f t="shared" si="92"/>
        <v>1700.701616158339</v>
      </c>
      <c r="AW49" s="115">
        <f t="shared" si="93"/>
        <v>0.73081370555038527</v>
      </c>
      <c r="AX49" s="116">
        <f t="shared" si="94"/>
        <v>626.43264971796748</v>
      </c>
      <c r="AY49" s="97">
        <f t="shared" si="100"/>
        <v>57.313142700637464</v>
      </c>
    </row>
    <row r="50" spans="2:51" x14ac:dyDescent="0.35">
      <c r="B50" s="7" t="s">
        <v>139</v>
      </c>
      <c r="C50" s="14">
        <v>0.18</v>
      </c>
      <c r="D50" s="9"/>
      <c r="E50" s="9">
        <f>GFA!D51</f>
        <v>0</v>
      </c>
      <c r="F50" s="9">
        <f>GFA!F51</f>
        <v>1.0476472357984714</v>
      </c>
      <c r="G50" s="97">
        <f t="shared" si="72"/>
        <v>0.94288251221862429</v>
      </c>
      <c r="H50" s="9">
        <v>0</v>
      </c>
      <c r="I50" s="115">
        <f t="shared" si="73"/>
        <v>0</v>
      </c>
      <c r="J50" s="116">
        <f t="shared" si="74"/>
        <v>0.94288251221862429</v>
      </c>
      <c r="K50" s="97">
        <f t="shared" si="95"/>
        <v>9.4288251221862421E-2</v>
      </c>
      <c r="L50" s="9"/>
      <c r="M50" s="9">
        <f>GFA!L51</f>
        <v>0.94754493579847143</v>
      </c>
      <c r="N50" s="9">
        <f>GFA!N51</f>
        <v>0.4048469475707393</v>
      </c>
      <c r="O50" s="97">
        <f t="shared" si="75"/>
        <v>1.2171526950322897</v>
      </c>
      <c r="P50" s="9">
        <f t="shared" si="76"/>
        <v>9.4288251221862421E-2</v>
      </c>
      <c r="Q50" s="115">
        <f t="shared" si="77"/>
        <v>7.7466246927515581E-2</v>
      </c>
      <c r="R50" s="116">
        <f t="shared" si="78"/>
        <v>1.1228644438104274</v>
      </c>
      <c r="S50" s="97">
        <f t="shared" si="96"/>
        <v>0.20699431372509139</v>
      </c>
      <c r="T50" s="9"/>
      <c r="U50" s="9">
        <f>GFA!T51</f>
        <v>1.2789682833692109</v>
      </c>
      <c r="V50" s="9">
        <f>GFA!V51</f>
        <v>0</v>
      </c>
      <c r="W50" s="97">
        <f t="shared" si="79"/>
        <v>1.1510714550322898</v>
      </c>
      <c r="X50" s="9">
        <f t="shared" si="80"/>
        <v>0.30128256494695382</v>
      </c>
      <c r="Y50" s="115">
        <f t="shared" si="81"/>
        <v>0.26174097501054117</v>
      </c>
      <c r="Z50" s="116">
        <f t="shared" si="82"/>
        <v>0.84978889008533598</v>
      </c>
      <c r="AA50" s="97">
        <f t="shared" si="97"/>
        <v>0.23021429100645796</v>
      </c>
      <c r="AB50" s="9"/>
      <c r="AC50" s="9">
        <f>GFA!AB51</f>
        <v>1.2789682833692109</v>
      </c>
      <c r="AD50" s="9">
        <f>GFA!AD51</f>
        <v>0</v>
      </c>
      <c r="AE50" s="97">
        <f t="shared" si="83"/>
        <v>1.1510714550322898</v>
      </c>
      <c r="AF50" s="9">
        <f t="shared" si="84"/>
        <v>0.53149685595341178</v>
      </c>
      <c r="AG50" s="115">
        <f t="shared" si="85"/>
        <v>0.46174097501054118</v>
      </c>
      <c r="AH50" s="116">
        <f t="shared" si="86"/>
        <v>0.61957459907887802</v>
      </c>
      <c r="AI50" s="97">
        <f t="shared" si="98"/>
        <v>0.23021429100645796</v>
      </c>
      <c r="AJ50" s="9"/>
      <c r="AK50" s="9">
        <f>GFA!AJ51</f>
        <v>1.2789682833692109</v>
      </c>
      <c r="AL50" s="9">
        <f>GFA!AL51</f>
        <v>0</v>
      </c>
      <c r="AM50" s="97">
        <f t="shared" si="87"/>
        <v>1.1510714550322898</v>
      </c>
      <c r="AN50" s="9">
        <f t="shared" si="88"/>
        <v>0.76171114695986974</v>
      </c>
      <c r="AO50" s="115">
        <f t="shared" si="89"/>
        <v>0.66174097501054119</v>
      </c>
      <c r="AP50" s="116">
        <f t="shared" si="90"/>
        <v>0.38936030807242006</v>
      </c>
      <c r="AQ50" s="97">
        <f t="shared" si="99"/>
        <v>0.23021429100645796</v>
      </c>
      <c r="AR50" s="9"/>
      <c r="AS50" s="9">
        <f>GFA!AR51</f>
        <v>1.2789682833692109</v>
      </c>
      <c r="AT50" s="9">
        <f>GFA!AT51</f>
        <v>0</v>
      </c>
      <c r="AU50" s="97">
        <f t="shared" si="91"/>
        <v>1.1510714550322898</v>
      </c>
      <c r="AV50" s="9">
        <f t="shared" si="92"/>
        <v>0.99192543796632771</v>
      </c>
      <c r="AW50" s="115">
        <f t="shared" si="93"/>
        <v>0.86174097501054114</v>
      </c>
      <c r="AX50" s="116">
        <f t="shared" si="94"/>
        <v>0.1591460170659621</v>
      </c>
      <c r="AY50" s="97">
        <f t="shared" si="100"/>
        <v>1.4560477316190494E-2</v>
      </c>
    </row>
    <row r="51" spans="2:51" x14ac:dyDescent="0.35">
      <c r="B51" s="7" t="s">
        <v>140</v>
      </c>
      <c r="C51" s="14">
        <v>5.28E-2</v>
      </c>
      <c r="D51" s="9"/>
      <c r="E51" s="9">
        <f>GFA!D52</f>
        <v>0</v>
      </c>
      <c r="F51" s="9">
        <f>GFA!F52</f>
        <v>0.1702812652570676</v>
      </c>
      <c r="G51" s="97">
        <f t="shared" si="72"/>
        <v>0.15325313873136084</v>
      </c>
      <c r="H51" s="9">
        <v>0</v>
      </c>
      <c r="I51" s="115">
        <f t="shared" si="73"/>
        <v>0</v>
      </c>
      <c r="J51" s="116">
        <f t="shared" si="74"/>
        <v>0.15325313873136084</v>
      </c>
      <c r="K51" s="97">
        <f t="shared" si="95"/>
        <v>4.4954254027865844E-3</v>
      </c>
      <c r="L51" s="9"/>
      <c r="M51" s="9">
        <f>GFA!L52</f>
        <v>0.1702812652570676</v>
      </c>
      <c r="N51" s="9">
        <f>GFA!N52</f>
        <v>0.18011837827172325</v>
      </c>
      <c r="O51" s="97">
        <f t="shared" si="75"/>
        <v>0.31535967917591173</v>
      </c>
      <c r="P51" s="9">
        <f t="shared" si="76"/>
        <v>4.4954254027865844E-3</v>
      </c>
      <c r="Q51" s="115">
        <f t="shared" si="77"/>
        <v>1.4254914941992243E-2</v>
      </c>
      <c r="R51" s="116">
        <f t="shared" si="78"/>
        <v>0.31086425377312515</v>
      </c>
      <c r="S51" s="97">
        <f t="shared" si="96"/>
        <v>1.3745975991946664E-2</v>
      </c>
      <c r="T51" s="9"/>
      <c r="U51" s="9">
        <f>GFA!T52</f>
        <v>0.35039964352879083</v>
      </c>
      <c r="V51" s="9">
        <f>GFA!V52</f>
        <v>5.284430853222262E-2</v>
      </c>
      <c r="W51" s="97">
        <f t="shared" si="79"/>
        <v>0.36291955685491212</v>
      </c>
      <c r="X51" s="9">
        <f t="shared" si="80"/>
        <v>1.824140139473325E-2</v>
      </c>
      <c r="Y51" s="115">
        <f t="shared" si="81"/>
        <v>5.0262933066530201E-2</v>
      </c>
      <c r="Z51" s="116">
        <f t="shared" si="82"/>
        <v>0.34467815546017888</v>
      </c>
      <c r="AA51" s="97">
        <f t="shared" si="97"/>
        <v>1.9896190923570835E-2</v>
      </c>
      <c r="AB51" s="9"/>
      <c r="AC51" s="9">
        <f>GFA!AB52</f>
        <v>0.40324395206101343</v>
      </c>
      <c r="AD51" s="9">
        <f>GFA!AD52</f>
        <v>0</v>
      </c>
      <c r="AE51" s="97">
        <f t="shared" si="83"/>
        <v>0.36291955685491212</v>
      </c>
      <c r="AF51" s="9">
        <f t="shared" si="84"/>
        <v>3.8137592318304089E-2</v>
      </c>
      <c r="AG51" s="115">
        <f t="shared" si="85"/>
        <v>0.10508552542278873</v>
      </c>
      <c r="AH51" s="116">
        <f t="shared" si="86"/>
        <v>0.32478196453660801</v>
      </c>
      <c r="AI51" s="97">
        <f t="shared" si="98"/>
        <v>2.1291280668821508E-2</v>
      </c>
      <c r="AJ51" s="9"/>
      <c r="AK51" s="9">
        <f>GFA!AJ52</f>
        <v>0.40324395206101343</v>
      </c>
      <c r="AL51" s="9">
        <f>GFA!AL52</f>
        <v>0</v>
      </c>
      <c r="AM51" s="97">
        <f t="shared" si="87"/>
        <v>0.36291955685491212</v>
      </c>
      <c r="AN51" s="9">
        <f t="shared" si="88"/>
        <v>5.9428872987125597E-2</v>
      </c>
      <c r="AO51" s="115">
        <f t="shared" si="89"/>
        <v>0.16375219208945541</v>
      </c>
      <c r="AP51" s="116">
        <f t="shared" si="90"/>
        <v>0.30349068386778655</v>
      </c>
      <c r="AQ51" s="97">
        <f t="shared" si="99"/>
        <v>2.1291280668821508E-2</v>
      </c>
      <c r="AR51" s="9"/>
      <c r="AS51" s="9">
        <f>GFA!AR52</f>
        <v>0.40324395206101343</v>
      </c>
      <c r="AT51" s="9">
        <f>GFA!AT52</f>
        <v>0</v>
      </c>
      <c r="AU51" s="97">
        <f t="shared" si="91"/>
        <v>0.36291955685491212</v>
      </c>
      <c r="AV51" s="9">
        <f t="shared" si="92"/>
        <v>8.0720153655947105E-2</v>
      </c>
      <c r="AW51" s="115">
        <f t="shared" si="93"/>
        <v>0.22241885875612205</v>
      </c>
      <c r="AX51" s="116">
        <f t="shared" si="94"/>
        <v>0.28219940319896503</v>
      </c>
      <c r="AY51" s="97">
        <f t="shared" si="100"/>
        <v>2.1291280668821508E-2</v>
      </c>
    </row>
    <row r="52" spans="2:51" x14ac:dyDescent="0.35">
      <c r="B52" s="7" t="s">
        <v>141</v>
      </c>
      <c r="C52" s="14">
        <v>5.28E-2</v>
      </c>
      <c r="D52" s="9"/>
      <c r="E52" s="9">
        <f>GFA!D53</f>
        <v>32.687209100000004</v>
      </c>
      <c r="F52" s="9">
        <f>GFA!F53</f>
        <v>0</v>
      </c>
      <c r="G52" s="97">
        <f t="shared" si="72"/>
        <v>29.418488190000005</v>
      </c>
      <c r="H52" s="9">
        <v>28.325673223577937</v>
      </c>
      <c r="I52" s="115">
        <f t="shared" si="73"/>
        <v>0.96285278293826326</v>
      </c>
      <c r="J52" s="116">
        <f t="shared" si="74"/>
        <v>1.0928149664220683</v>
      </c>
      <c r="K52" s="97">
        <f t="shared" si="95"/>
        <v>6.8601065061021232E-2</v>
      </c>
      <c r="L52" s="9"/>
      <c r="M52" s="9">
        <f>GFA!L53</f>
        <v>32.687209100000004</v>
      </c>
      <c r="N52" s="9">
        <f>GFA!N53</f>
        <v>0</v>
      </c>
      <c r="O52" s="97">
        <f t="shared" si="75"/>
        <v>29.418488190000005</v>
      </c>
      <c r="P52" s="9">
        <f t="shared" si="76"/>
        <v>28.394274288638957</v>
      </c>
      <c r="Q52" s="115">
        <f t="shared" si="77"/>
        <v>0.96518468608087071</v>
      </c>
      <c r="R52" s="116">
        <f t="shared" si="78"/>
        <v>1.0242139013610476</v>
      </c>
      <c r="S52" s="97">
        <f t="shared" si="96"/>
        <v>6.8601065061021274E-2</v>
      </c>
      <c r="T52" s="9"/>
      <c r="U52" s="9">
        <f>GFA!T53</f>
        <v>32.687209100000004</v>
      </c>
      <c r="V52" s="9">
        <f>GFA!V53</f>
        <v>0</v>
      </c>
      <c r="W52" s="97">
        <f t="shared" si="79"/>
        <v>29.418488190000005</v>
      </c>
      <c r="X52" s="9">
        <f t="shared" si="80"/>
        <v>28.462875353699978</v>
      </c>
      <c r="Y52" s="115">
        <f t="shared" si="81"/>
        <v>0.96751658922347816</v>
      </c>
      <c r="Z52" s="116">
        <f t="shared" si="82"/>
        <v>0.95561283630002691</v>
      </c>
      <c r="AA52" s="97">
        <f t="shared" si="97"/>
        <v>6.8601065061021316E-2</v>
      </c>
      <c r="AB52" s="9"/>
      <c r="AC52" s="9">
        <f>GFA!AB53</f>
        <v>32.687209100000004</v>
      </c>
      <c r="AD52" s="9">
        <f>GFA!AD53</f>
        <v>0</v>
      </c>
      <c r="AE52" s="97">
        <f t="shared" si="83"/>
        <v>29.418488190000005</v>
      </c>
      <c r="AF52" s="9">
        <f t="shared" si="84"/>
        <v>28.531476418760999</v>
      </c>
      <c r="AG52" s="115">
        <f t="shared" si="85"/>
        <v>0.96984849236608561</v>
      </c>
      <c r="AH52" s="116">
        <f t="shared" si="86"/>
        <v>0.88701177123900621</v>
      </c>
      <c r="AI52" s="97">
        <f t="shared" si="98"/>
        <v>6.8601065061021357E-2</v>
      </c>
      <c r="AJ52" s="9"/>
      <c r="AK52" s="9">
        <f>GFA!AJ53</f>
        <v>32.687209100000004</v>
      </c>
      <c r="AL52" s="9">
        <f>GFA!AL53</f>
        <v>0</v>
      </c>
      <c r="AM52" s="97">
        <f t="shared" si="87"/>
        <v>29.418488190000005</v>
      </c>
      <c r="AN52" s="9">
        <f t="shared" si="88"/>
        <v>28.60007748382202</v>
      </c>
      <c r="AO52" s="115">
        <f t="shared" si="89"/>
        <v>0.97218039550869306</v>
      </c>
      <c r="AP52" s="116">
        <f t="shared" si="90"/>
        <v>0.8184107061779855</v>
      </c>
      <c r="AQ52" s="97">
        <f t="shared" si="99"/>
        <v>6.8601065061021413E-2</v>
      </c>
      <c r="AR52" s="9"/>
      <c r="AS52" s="9">
        <f>GFA!AR53</f>
        <v>32.687209100000004</v>
      </c>
      <c r="AT52" s="9">
        <f>GFA!AT53</f>
        <v>0</v>
      </c>
      <c r="AU52" s="97">
        <f t="shared" si="91"/>
        <v>29.418488190000005</v>
      </c>
      <c r="AV52" s="9">
        <f t="shared" si="92"/>
        <v>28.66867854888304</v>
      </c>
      <c r="AW52" s="115">
        <f t="shared" si="93"/>
        <v>0.9745122986513004</v>
      </c>
      <c r="AX52" s="116">
        <f t="shared" si="94"/>
        <v>0.7498096411169648</v>
      </c>
      <c r="AY52" s="97">
        <f t="shared" si="100"/>
        <v>6.8601065061021482E-2</v>
      </c>
    </row>
    <row r="53" spans="2:51" x14ac:dyDescent="0.35">
      <c r="B53" s="7" t="s">
        <v>142</v>
      </c>
      <c r="C53" s="14">
        <v>9.5000000000000001E-2</v>
      </c>
      <c r="D53" s="9"/>
      <c r="E53" s="9">
        <f>GFA!D54</f>
        <v>1.1244215430000002</v>
      </c>
      <c r="F53" s="9">
        <f>GFA!F54</f>
        <v>0.41068092584680566</v>
      </c>
      <c r="G53" s="97">
        <f t="shared" si="72"/>
        <v>1.3815922219621253</v>
      </c>
      <c r="H53" s="9">
        <v>1.0290636624694329</v>
      </c>
      <c r="I53" s="115">
        <f t="shared" si="73"/>
        <v>0.74483892288273423</v>
      </c>
      <c r="J53" s="116">
        <f t="shared" si="74"/>
        <v>0.35252855949269235</v>
      </c>
      <c r="K53" s="97">
        <f t="shared" si="95"/>
        <v>2.2129853075498578E-2</v>
      </c>
      <c r="L53" s="9"/>
      <c r="M53" s="9">
        <f>GFA!L54</f>
        <v>1.5351024688468058</v>
      </c>
      <c r="N53" s="9">
        <f>GFA!N54</f>
        <v>0</v>
      </c>
      <c r="O53" s="97">
        <f t="shared" si="75"/>
        <v>1.3815922219621253</v>
      </c>
      <c r="P53" s="9">
        <f t="shared" si="76"/>
        <v>1.0511935155449315</v>
      </c>
      <c r="Q53" s="115">
        <f t="shared" si="77"/>
        <v>0.76085656739731466</v>
      </c>
      <c r="R53" s="116">
        <f t="shared" si="78"/>
        <v>0.33039870641719382</v>
      </c>
      <c r="S53" s="97">
        <f t="shared" si="96"/>
        <v>2.2129853075498581E-2</v>
      </c>
      <c r="T53" s="9"/>
      <c r="U53" s="9">
        <f>GFA!T54</f>
        <v>1.5351024688468058</v>
      </c>
      <c r="V53" s="9">
        <f>GFA!V54</f>
        <v>1.7759809790158205</v>
      </c>
      <c r="W53" s="97">
        <f t="shared" si="79"/>
        <v>2.9799751030763635</v>
      </c>
      <c r="X53" s="9">
        <f t="shared" si="80"/>
        <v>1.07332336862043</v>
      </c>
      <c r="Y53" s="115">
        <f t="shared" si="81"/>
        <v>0.36017863622833279</v>
      </c>
      <c r="Z53" s="116">
        <f t="shared" si="82"/>
        <v>1.9066517344559335</v>
      </c>
      <c r="AA53" s="97">
        <f t="shared" si="97"/>
        <v>0.23019383104369803</v>
      </c>
      <c r="AB53" s="9"/>
      <c r="AC53" s="9">
        <f>GFA!AB54</f>
        <v>3.3110834478626261</v>
      </c>
      <c r="AD53" s="9">
        <f>GFA!AD54</f>
        <v>0</v>
      </c>
      <c r="AE53" s="97">
        <f t="shared" si="83"/>
        <v>2.9799751030763635</v>
      </c>
      <c r="AF53" s="9">
        <f t="shared" si="84"/>
        <v>1.3035171996641279</v>
      </c>
      <c r="AG53" s="115">
        <f t="shared" si="85"/>
        <v>0.43742553362893805</v>
      </c>
      <c r="AH53" s="116">
        <f t="shared" si="86"/>
        <v>1.6764579034122356</v>
      </c>
      <c r="AI53" s="97">
        <f t="shared" si="98"/>
        <v>0.31455292754694947</v>
      </c>
      <c r="AJ53" s="9"/>
      <c r="AK53" s="9">
        <f>GFA!AJ54</f>
        <v>3.3110834478626261</v>
      </c>
      <c r="AL53" s="9">
        <f>GFA!AL54</f>
        <v>0</v>
      </c>
      <c r="AM53" s="97">
        <f t="shared" si="87"/>
        <v>2.9799751030763635</v>
      </c>
      <c r="AN53" s="9">
        <f t="shared" si="88"/>
        <v>1.6180701272110773</v>
      </c>
      <c r="AO53" s="115">
        <f t="shared" si="89"/>
        <v>0.54298108918449361</v>
      </c>
      <c r="AP53" s="116">
        <f t="shared" si="90"/>
        <v>1.3619049758652861</v>
      </c>
      <c r="AQ53" s="97">
        <f t="shared" si="99"/>
        <v>0.31455292754694947</v>
      </c>
      <c r="AR53" s="9"/>
      <c r="AS53" s="9">
        <f>GFA!AR54</f>
        <v>3.3110834478626261</v>
      </c>
      <c r="AT53" s="9">
        <f>GFA!AT54</f>
        <v>0</v>
      </c>
      <c r="AU53" s="97">
        <f t="shared" si="91"/>
        <v>2.9799751030763635</v>
      </c>
      <c r="AV53" s="9">
        <f t="shared" si="92"/>
        <v>1.9326230547580268</v>
      </c>
      <c r="AW53" s="115">
        <f t="shared" si="93"/>
        <v>0.64853664474004913</v>
      </c>
      <c r="AX53" s="116">
        <f t="shared" si="94"/>
        <v>1.0473520483183367</v>
      </c>
      <c r="AY53" s="97">
        <f t="shared" si="100"/>
        <v>0.31455292754694947</v>
      </c>
    </row>
    <row r="54" spans="2:51" x14ac:dyDescent="0.35">
      <c r="B54" s="7" t="s">
        <v>143</v>
      </c>
      <c r="C54" s="14">
        <v>6.3299999999999995E-2</v>
      </c>
      <c r="D54" s="9"/>
      <c r="E54" s="9">
        <f>GFA!D55</f>
        <v>1.8391429479999999</v>
      </c>
      <c r="F54" s="9">
        <f>GFA!F55</f>
        <v>0.55883642791241805</v>
      </c>
      <c r="G54" s="97">
        <f t="shared" si="72"/>
        <v>2.1581814383211761</v>
      </c>
      <c r="H54" s="9">
        <v>1.599560361869474</v>
      </c>
      <c r="I54" s="115">
        <f t="shared" si="73"/>
        <v>0.74116120798154628</v>
      </c>
      <c r="J54" s="116">
        <f t="shared" si="74"/>
        <v>0.55862107645170211</v>
      </c>
      <c r="K54" s="97">
        <f t="shared" si="95"/>
        <v>3.5067236437646088E-2</v>
      </c>
      <c r="L54" s="9"/>
      <c r="M54" s="9">
        <f>GFA!L55</f>
        <v>2.3979793759124179</v>
      </c>
      <c r="N54" s="9">
        <f>GFA!N55</f>
        <v>2.6244895336258494E-2</v>
      </c>
      <c r="O54" s="97">
        <f t="shared" si="75"/>
        <v>2.1818018441238092</v>
      </c>
      <c r="P54" s="9">
        <f t="shared" si="76"/>
        <v>1.6346275983071201</v>
      </c>
      <c r="Q54" s="115">
        <f t="shared" si="77"/>
        <v>0.74920992605704351</v>
      </c>
      <c r="R54" s="116">
        <f t="shared" si="78"/>
        <v>0.54717424581668905</v>
      </c>
      <c r="S54" s="97">
        <f t="shared" si="96"/>
        <v>3.6649313182631552E-2</v>
      </c>
      <c r="T54" s="9"/>
      <c r="U54" s="9">
        <f>GFA!T55</f>
        <v>2.4242242712486766</v>
      </c>
      <c r="V54" s="9">
        <f>GFA!V55</f>
        <v>0.18342152703542694</v>
      </c>
      <c r="W54" s="97">
        <f t="shared" si="79"/>
        <v>2.3468812184556933</v>
      </c>
      <c r="X54" s="9">
        <f t="shared" si="80"/>
        <v>1.6712769114897517</v>
      </c>
      <c r="Y54" s="115">
        <f t="shared" si="81"/>
        <v>0.71212675713920182</v>
      </c>
      <c r="Z54" s="116">
        <f t="shared" si="82"/>
        <v>0.67560430696594165</v>
      </c>
      <c r="AA54" s="97">
        <f t="shared" si="97"/>
        <v>4.8499950248811319E-2</v>
      </c>
      <c r="AB54" s="9"/>
      <c r="AC54" s="9">
        <f>GFA!AB55</f>
        <v>2.6076457982841035</v>
      </c>
      <c r="AD54" s="9">
        <f>GFA!AD55</f>
        <v>0</v>
      </c>
      <c r="AE54" s="97">
        <f t="shared" si="83"/>
        <v>2.3468812184556933</v>
      </c>
      <c r="AF54" s="9">
        <f t="shared" si="84"/>
        <v>1.7197768617385629</v>
      </c>
      <c r="AG54" s="115">
        <f t="shared" si="85"/>
        <v>0.73279246014428423</v>
      </c>
      <c r="AH54" s="116">
        <f t="shared" si="86"/>
        <v>0.62710435671713038</v>
      </c>
      <c r="AI54" s="97">
        <f t="shared" si="98"/>
        <v>4.8499950248811326E-2</v>
      </c>
      <c r="AJ54" s="9"/>
      <c r="AK54" s="9">
        <f>GFA!AJ55</f>
        <v>2.6076457982841035</v>
      </c>
      <c r="AL54" s="9">
        <f>GFA!AL55</f>
        <v>0</v>
      </c>
      <c r="AM54" s="97">
        <f t="shared" si="87"/>
        <v>2.3468812184556933</v>
      </c>
      <c r="AN54" s="9">
        <f t="shared" si="88"/>
        <v>1.7682768119873742</v>
      </c>
      <c r="AO54" s="115">
        <f t="shared" si="89"/>
        <v>0.75345816314936664</v>
      </c>
      <c r="AP54" s="116">
        <f t="shared" si="90"/>
        <v>0.57860440646831912</v>
      </c>
      <c r="AQ54" s="97">
        <f t="shared" si="99"/>
        <v>4.8499950248811326E-2</v>
      </c>
      <c r="AR54" s="9"/>
      <c r="AS54" s="9">
        <f>GFA!AR55</f>
        <v>2.6076457982841035</v>
      </c>
      <c r="AT54" s="9">
        <f>GFA!AT55</f>
        <v>0</v>
      </c>
      <c r="AU54" s="97">
        <f t="shared" si="91"/>
        <v>2.3468812184556933</v>
      </c>
      <c r="AV54" s="9">
        <f t="shared" si="92"/>
        <v>1.8167767622361854</v>
      </c>
      <c r="AW54" s="115">
        <f t="shared" si="93"/>
        <v>0.77412386615444906</v>
      </c>
      <c r="AX54" s="116">
        <f t="shared" si="94"/>
        <v>0.53010445621950786</v>
      </c>
      <c r="AY54" s="97">
        <f t="shared" si="100"/>
        <v>4.8499950248811333E-2</v>
      </c>
    </row>
    <row r="55" spans="2:51" x14ac:dyDescent="0.35">
      <c r="B55" s="7" t="s">
        <v>144</v>
      </c>
      <c r="C55" s="14">
        <v>6.3299999999999995E-2</v>
      </c>
      <c r="D55" s="9"/>
      <c r="E55" s="9">
        <f>GFA!D56</f>
        <v>4.2933543585331737</v>
      </c>
      <c r="F55" s="9">
        <f>GFA!F56</f>
        <v>0</v>
      </c>
      <c r="G55" s="97">
        <f t="shared" si="72"/>
        <v>3.8640189226798562</v>
      </c>
      <c r="H55" s="9">
        <v>2.3067423590565856</v>
      </c>
      <c r="I55" s="115">
        <f t="shared" si="73"/>
        <v>0.59698008866291075</v>
      </c>
      <c r="J55" s="116">
        <f t="shared" si="74"/>
        <v>1.5572765636232706</v>
      </c>
      <c r="K55" s="97">
        <f t="shared" si="95"/>
        <v>0.27176933089514987</v>
      </c>
      <c r="L55" s="9"/>
      <c r="M55" s="9">
        <f>GFA!L56</f>
        <v>4.2933543585331737</v>
      </c>
      <c r="N55" s="9">
        <f>GFA!N56</f>
        <v>0</v>
      </c>
      <c r="O55" s="97">
        <f t="shared" si="75"/>
        <v>3.8640189226798562</v>
      </c>
      <c r="P55" s="9">
        <f t="shared" si="76"/>
        <v>2.5785116899517355</v>
      </c>
      <c r="Q55" s="115">
        <f t="shared" si="77"/>
        <v>0.6673134219962441</v>
      </c>
      <c r="R55" s="116">
        <f t="shared" si="78"/>
        <v>1.2855072327281207</v>
      </c>
      <c r="S55" s="97">
        <f t="shared" si="96"/>
        <v>0.27176933089514987</v>
      </c>
      <c r="T55" s="9"/>
      <c r="U55" s="9">
        <f>GFA!T56</f>
        <v>4.2652007585331742</v>
      </c>
      <c r="V55" s="9">
        <f>GFA!V56</f>
        <v>0</v>
      </c>
      <c r="W55" s="97">
        <f t="shared" si="79"/>
        <v>3.8386806826798567</v>
      </c>
      <c r="X55" s="9">
        <f t="shared" si="80"/>
        <v>2.8502810208468854</v>
      </c>
      <c r="Y55" s="115">
        <f t="shared" si="81"/>
        <v>0.74251579030977111</v>
      </c>
      <c r="Z55" s="116">
        <f t="shared" si="82"/>
        <v>0.98839966183297134</v>
      </c>
      <c r="AA55" s="97">
        <f t="shared" si="97"/>
        <v>7.0954749593178129E-2</v>
      </c>
      <c r="AB55" s="9"/>
      <c r="AC55" s="9">
        <f>GFA!AB56</f>
        <v>4.2652007585331742</v>
      </c>
      <c r="AD55" s="9">
        <f>GFA!AD56</f>
        <v>0</v>
      </c>
      <c r="AE55" s="97">
        <f t="shared" si="83"/>
        <v>3.8386806826798567</v>
      </c>
      <c r="AF55" s="9">
        <f t="shared" si="84"/>
        <v>2.9212357704400636</v>
      </c>
      <c r="AG55" s="115">
        <f t="shared" si="85"/>
        <v>0.7609999403234271</v>
      </c>
      <c r="AH55" s="116">
        <f t="shared" si="86"/>
        <v>0.91744491223979319</v>
      </c>
      <c r="AI55" s="97">
        <f t="shared" si="98"/>
        <v>7.0954749593178129E-2</v>
      </c>
      <c r="AJ55" s="9"/>
      <c r="AK55" s="9">
        <f>GFA!AJ56</f>
        <v>4.2652007585331742</v>
      </c>
      <c r="AL55" s="9">
        <f>GFA!AL56</f>
        <v>0</v>
      </c>
      <c r="AM55" s="97">
        <f t="shared" si="87"/>
        <v>3.8386806826798567</v>
      </c>
      <c r="AN55" s="9">
        <f t="shared" si="88"/>
        <v>2.9921905200332417</v>
      </c>
      <c r="AO55" s="115">
        <f t="shared" si="89"/>
        <v>0.77948409033708321</v>
      </c>
      <c r="AP55" s="116">
        <f t="shared" si="90"/>
        <v>0.84649016264661503</v>
      </c>
      <c r="AQ55" s="97">
        <f t="shared" si="99"/>
        <v>7.0954749593178129E-2</v>
      </c>
      <c r="AR55" s="9"/>
      <c r="AS55" s="9">
        <f>GFA!AR56</f>
        <v>4.2652007585331742</v>
      </c>
      <c r="AT55" s="9">
        <f>GFA!AT56</f>
        <v>0</v>
      </c>
      <c r="AU55" s="97">
        <f t="shared" si="91"/>
        <v>3.8386806826798567</v>
      </c>
      <c r="AV55" s="9">
        <f t="shared" si="92"/>
        <v>3.0631452696264199</v>
      </c>
      <c r="AW55" s="115">
        <f t="shared" si="93"/>
        <v>0.79796824035073932</v>
      </c>
      <c r="AX55" s="116">
        <f t="shared" si="94"/>
        <v>0.77553541305343687</v>
      </c>
      <c r="AY55" s="97">
        <f t="shared" si="100"/>
        <v>7.0954749593178129E-2</v>
      </c>
    </row>
    <row r="56" spans="2:51" x14ac:dyDescent="0.35">
      <c r="B56" s="7" t="s">
        <v>145</v>
      </c>
      <c r="C56" s="14">
        <v>6.3299999999999995E-2</v>
      </c>
      <c r="D56" s="9"/>
      <c r="E56" s="9">
        <f>GFA!D57</f>
        <v>0</v>
      </c>
      <c r="F56" s="9">
        <f>GFA!F57</f>
        <v>0</v>
      </c>
      <c r="G56" s="97">
        <f t="shared" si="72"/>
        <v>0</v>
      </c>
      <c r="H56" s="9">
        <v>0</v>
      </c>
      <c r="I56" s="115">
        <f t="shared" si="73"/>
        <v>0</v>
      </c>
      <c r="J56" s="116">
        <f t="shared" si="74"/>
        <v>0</v>
      </c>
      <c r="K56" s="97">
        <f t="shared" si="95"/>
        <v>0</v>
      </c>
      <c r="L56" s="9"/>
      <c r="M56" s="9">
        <f>GFA!L57</f>
        <v>0</v>
      </c>
      <c r="N56" s="9">
        <f>GFA!N57</f>
        <v>0</v>
      </c>
      <c r="O56" s="97">
        <f t="shared" si="75"/>
        <v>0</v>
      </c>
      <c r="P56" s="9">
        <f t="shared" si="76"/>
        <v>0</v>
      </c>
      <c r="Q56" s="115">
        <f t="shared" si="77"/>
        <v>0</v>
      </c>
      <c r="R56" s="116">
        <f t="shared" si="78"/>
        <v>0</v>
      </c>
      <c r="S56" s="97">
        <f t="shared" si="96"/>
        <v>0</v>
      </c>
      <c r="T56" s="9"/>
      <c r="U56" s="9">
        <f>GFA!T57</f>
        <v>0</v>
      </c>
      <c r="V56" s="9">
        <f>GFA!V57</f>
        <v>0</v>
      </c>
      <c r="W56" s="97">
        <f t="shared" si="79"/>
        <v>0</v>
      </c>
      <c r="X56" s="9">
        <f t="shared" si="80"/>
        <v>0</v>
      </c>
      <c r="Y56" s="115">
        <f t="shared" si="81"/>
        <v>0</v>
      </c>
      <c r="Z56" s="116">
        <f t="shared" si="82"/>
        <v>0</v>
      </c>
      <c r="AA56" s="97">
        <f t="shared" si="97"/>
        <v>0</v>
      </c>
      <c r="AB56" s="9"/>
      <c r="AC56" s="9">
        <f>GFA!AB57</f>
        <v>0</v>
      </c>
      <c r="AD56" s="9">
        <f>GFA!AD57</f>
        <v>0</v>
      </c>
      <c r="AE56" s="97">
        <f t="shared" si="83"/>
        <v>0</v>
      </c>
      <c r="AF56" s="9">
        <f t="shared" si="84"/>
        <v>0</v>
      </c>
      <c r="AG56" s="115">
        <f t="shared" si="85"/>
        <v>0</v>
      </c>
      <c r="AH56" s="116">
        <f t="shared" si="86"/>
        <v>0</v>
      </c>
      <c r="AI56" s="97">
        <f t="shared" si="98"/>
        <v>0</v>
      </c>
      <c r="AJ56" s="9"/>
      <c r="AK56" s="9">
        <f>GFA!AJ57</f>
        <v>0</v>
      </c>
      <c r="AL56" s="9">
        <f>GFA!AL57</f>
        <v>0</v>
      </c>
      <c r="AM56" s="97">
        <f t="shared" si="87"/>
        <v>0</v>
      </c>
      <c r="AN56" s="9">
        <f t="shared" si="88"/>
        <v>0</v>
      </c>
      <c r="AO56" s="115">
        <f t="shared" si="89"/>
        <v>0</v>
      </c>
      <c r="AP56" s="116">
        <f t="shared" si="90"/>
        <v>0</v>
      </c>
      <c r="AQ56" s="97">
        <f t="shared" si="99"/>
        <v>0</v>
      </c>
      <c r="AR56" s="9"/>
      <c r="AS56" s="9">
        <f>GFA!AR57</f>
        <v>0</v>
      </c>
      <c r="AT56" s="9">
        <f>GFA!AT57</f>
        <v>0</v>
      </c>
      <c r="AU56" s="97">
        <f t="shared" si="91"/>
        <v>0</v>
      </c>
      <c r="AV56" s="9">
        <f t="shared" si="92"/>
        <v>0</v>
      </c>
      <c r="AW56" s="115">
        <f t="shared" si="93"/>
        <v>0</v>
      </c>
      <c r="AX56" s="116">
        <f t="shared" si="94"/>
        <v>0</v>
      </c>
      <c r="AY56" s="97">
        <f t="shared" si="100"/>
        <v>0</v>
      </c>
    </row>
    <row r="57" spans="2:51" x14ac:dyDescent="0.35">
      <c r="B57" s="7" t="s">
        <v>146</v>
      </c>
      <c r="C57" s="14">
        <v>0.15</v>
      </c>
      <c r="D57" s="9"/>
      <c r="E57" s="9">
        <f>GFA!D58</f>
        <v>0</v>
      </c>
      <c r="F57" s="9">
        <f>GFA!F58</f>
        <v>0.17956291118758982</v>
      </c>
      <c r="G57" s="97">
        <f t="shared" si="72"/>
        <v>0.16160662006883084</v>
      </c>
      <c r="H57" s="9">
        <v>0</v>
      </c>
      <c r="I57" s="115">
        <f t="shared" si="73"/>
        <v>0</v>
      </c>
      <c r="J57" s="116">
        <f t="shared" si="74"/>
        <v>0.16160662006883084</v>
      </c>
      <c r="K57" s="97">
        <f t="shared" si="95"/>
        <v>1.3467218339069236E-2</v>
      </c>
      <c r="L57" s="9"/>
      <c r="M57" s="9">
        <f>GFA!L58</f>
        <v>0.17956291118758982</v>
      </c>
      <c r="N57" s="9">
        <f>GFA!N58</f>
        <v>1.014167459326534</v>
      </c>
      <c r="O57" s="97">
        <f t="shared" si="75"/>
        <v>1.0743573334627115</v>
      </c>
      <c r="P57" s="9">
        <f t="shared" si="76"/>
        <v>1.3467218339069236E-2</v>
      </c>
      <c r="Q57" s="115">
        <f t="shared" si="77"/>
        <v>1.2535138840318302E-2</v>
      </c>
      <c r="R57" s="116">
        <f t="shared" si="78"/>
        <v>1.0608901151236423</v>
      </c>
      <c r="S57" s="97">
        <f t="shared" si="96"/>
        <v>0.10299699612762851</v>
      </c>
      <c r="T57" s="9"/>
      <c r="U57" s="9">
        <f>GFA!T58</f>
        <v>0.40737570351412378</v>
      </c>
      <c r="V57" s="9">
        <f>GFA!V58</f>
        <v>0.72820788712262952</v>
      </c>
      <c r="W57" s="97">
        <f t="shared" si="79"/>
        <v>1.022025231573078</v>
      </c>
      <c r="X57" s="9">
        <f t="shared" si="80"/>
        <v>0.11646421446669775</v>
      </c>
      <c r="Y57" s="115">
        <f t="shared" si="81"/>
        <v>0.11395434365885339</v>
      </c>
      <c r="Z57" s="116">
        <f t="shared" si="82"/>
        <v>0.90556101710638026</v>
      </c>
      <c r="AA57" s="97">
        <f t="shared" si="97"/>
        <v>0.11572194706131578</v>
      </c>
      <c r="AB57" s="9"/>
      <c r="AC57" s="9">
        <f>GFA!AB58</f>
        <v>0.87256609063675328</v>
      </c>
      <c r="AD57" s="9">
        <f>GFA!AD58</f>
        <v>0</v>
      </c>
      <c r="AE57" s="97">
        <f t="shared" si="83"/>
        <v>0.78530948157307801</v>
      </c>
      <c r="AF57" s="9">
        <f t="shared" si="84"/>
        <v>0.23218616152801352</v>
      </c>
      <c r="AG57" s="115">
        <f t="shared" si="85"/>
        <v>0.29566198674045568</v>
      </c>
      <c r="AH57" s="116">
        <f t="shared" si="86"/>
        <v>0.55312332004506448</v>
      </c>
      <c r="AI57" s="97">
        <f t="shared" si="98"/>
        <v>0.13088491359551299</v>
      </c>
      <c r="AJ57" s="9"/>
      <c r="AK57" s="9">
        <f>GFA!AJ58</f>
        <v>0.87256609063675328</v>
      </c>
      <c r="AL57" s="9">
        <f>GFA!AL58</f>
        <v>0</v>
      </c>
      <c r="AM57" s="97">
        <f t="shared" si="87"/>
        <v>0.78530948157307801</v>
      </c>
      <c r="AN57" s="9">
        <f t="shared" si="88"/>
        <v>0.36307107512352654</v>
      </c>
      <c r="AO57" s="115">
        <f t="shared" si="89"/>
        <v>0.46232865340712237</v>
      </c>
      <c r="AP57" s="116">
        <f t="shared" si="90"/>
        <v>0.42223840644955146</v>
      </c>
      <c r="AQ57" s="97">
        <f t="shared" si="99"/>
        <v>0.13088491359551299</v>
      </c>
      <c r="AR57" s="9"/>
      <c r="AS57" s="9">
        <f>GFA!AR58</f>
        <v>0.87256609063675328</v>
      </c>
      <c r="AT57" s="9">
        <f>GFA!AT58</f>
        <v>0</v>
      </c>
      <c r="AU57" s="97">
        <f t="shared" si="91"/>
        <v>0.78530948157307801</v>
      </c>
      <c r="AV57" s="9">
        <f t="shared" si="92"/>
        <v>0.49395598871903956</v>
      </c>
      <c r="AW57" s="115">
        <f t="shared" si="93"/>
        <v>0.62899532007378911</v>
      </c>
      <c r="AX57" s="116">
        <f t="shared" si="94"/>
        <v>0.29135349285403844</v>
      </c>
      <c r="AY57" s="97">
        <f t="shared" si="100"/>
        <v>0.13088491359551299</v>
      </c>
    </row>
    <row r="58" spans="2:51" x14ac:dyDescent="0.35">
      <c r="B58" s="7" t="s">
        <v>147</v>
      </c>
      <c r="C58" s="14">
        <v>0.3</v>
      </c>
      <c r="D58" s="9"/>
      <c r="E58" s="9">
        <f>GFA!D59</f>
        <v>0</v>
      </c>
      <c r="F58" s="9">
        <f>GFA!F59</f>
        <v>0</v>
      </c>
      <c r="G58" s="97">
        <f t="shared" si="72"/>
        <v>0</v>
      </c>
      <c r="H58" s="9">
        <v>0</v>
      </c>
      <c r="I58" s="115">
        <f t="shared" si="73"/>
        <v>0</v>
      </c>
      <c r="J58" s="116">
        <f t="shared" si="74"/>
        <v>0</v>
      </c>
      <c r="K58" s="97">
        <f t="shared" si="95"/>
        <v>0</v>
      </c>
      <c r="L58" s="9"/>
      <c r="M58" s="9">
        <f>GFA!L59</f>
        <v>-0.20921480000000001</v>
      </c>
      <c r="N58" s="9">
        <f>GFA!N59</f>
        <v>0</v>
      </c>
      <c r="O58" s="97">
        <f t="shared" si="75"/>
        <v>-0.18829332000000001</v>
      </c>
      <c r="P58" s="9">
        <f t="shared" si="76"/>
        <v>0</v>
      </c>
      <c r="Q58" s="115">
        <f t="shared" si="77"/>
        <v>0</v>
      </c>
      <c r="R58" s="116">
        <f t="shared" si="78"/>
        <v>0</v>
      </c>
      <c r="S58" s="97">
        <f t="shared" si="96"/>
        <v>-6.2764440000000005E-2</v>
      </c>
      <c r="T58" s="9"/>
      <c r="U58" s="9">
        <f>GFA!T59</f>
        <v>-0.41437480000000004</v>
      </c>
      <c r="V58" s="9">
        <f>GFA!V59</f>
        <v>0</v>
      </c>
      <c r="W58" s="97">
        <f t="shared" si="79"/>
        <v>-0.37293732000000007</v>
      </c>
      <c r="X58" s="9">
        <f t="shared" si="80"/>
        <v>-6.2764440000000005E-2</v>
      </c>
      <c r="Y58" s="115">
        <f t="shared" si="81"/>
        <v>0.16829755734824284</v>
      </c>
      <c r="Z58" s="116">
        <f t="shared" si="82"/>
        <v>0</v>
      </c>
      <c r="AA58" s="97">
        <f t="shared" si="97"/>
        <v>-0.12431244000000001</v>
      </c>
      <c r="AB58" s="9"/>
      <c r="AC58" s="9">
        <f>GFA!AB59</f>
        <v>-0.41437480000000004</v>
      </c>
      <c r="AD58" s="9">
        <f>GFA!AD59</f>
        <v>0</v>
      </c>
      <c r="AE58" s="97">
        <f t="shared" si="83"/>
        <v>-0.37293732000000007</v>
      </c>
      <c r="AF58" s="9">
        <f t="shared" si="84"/>
        <v>-0.18707688</v>
      </c>
      <c r="AG58" s="115">
        <f t="shared" si="85"/>
        <v>0.50163089068157607</v>
      </c>
      <c r="AH58" s="116">
        <f t="shared" si="86"/>
        <v>0</v>
      </c>
      <c r="AI58" s="97">
        <f t="shared" si="98"/>
        <v>-0.12431244000000001</v>
      </c>
      <c r="AJ58" s="9"/>
      <c r="AK58" s="9">
        <f>GFA!AJ59</f>
        <v>-0.41437480000000004</v>
      </c>
      <c r="AL58" s="9">
        <f>GFA!AL59</f>
        <v>0</v>
      </c>
      <c r="AM58" s="97">
        <f t="shared" si="87"/>
        <v>-0.37293732000000007</v>
      </c>
      <c r="AN58" s="9">
        <f t="shared" si="88"/>
        <v>-0.31138932000000002</v>
      </c>
      <c r="AO58" s="115">
        <f t="shared" si="89"/>
        <v>0.83496422401490944</v>
      </c>
      <c r="AP58" s="116">
        <f t="shared" si="90"/>
        <v>0</v>
      </c>
      <c r="AQ58" s="97">
        <f t="shared" si="99"/>
        <v>0</v>
      </c>
      <c r="AR58" s="9"/>
      <c r="AS58" s="9">
        <f>GFA!AR59</f>
        <v>-0.41437480000000004</v>
      </c>
      <c r="AT58" s="9">
        <f>GFA!AT59</f>
        <v>0</v>
      </c>
      <c r="AU58" s="97">
        <f t="shared" si="91"/>
        <v>-0.37293732000000007</v>
      </c>
      <c r="AV58" s="9">
        <f t="shared" si="92"/>
        <v>-0.31138932000000002</v>
      </c>
      <c r="AW58" s="115">
        <f t="shared" si="93"/>
        <v>0.83496422401490944</v>
      </c>
      <c r="AX58" s="116">
        <f t="shared" si="94"/>
        <v>0</v>
      </c>
      <c r="AY58" s="97">
        <f t="shared" si="100"/>
        <v>0</v>
      </c>
    </row>
    <row r="59" spans="2:51" x14ac:dyDescent="0.35">
      <c r="B59" s="7" t="s">
        <v>148</v>
      </c>
      <c r="C59" s="14">
        <v>0.3</v>
      </c>
      <c r="D59" s="9"/>
      <c r="E59" s="9">
        <f>GFA!D60</f>
        <v>0</v>
      </c>
      <c r="F59" s="9">
        <f>GFA!F60</f>
        <v>0</v>
      </c>
      <c r="G59" s="97">
        <f t="shared" si="72"/>
        <v>0</v>
      </c>
      <c r="H59" s="9">
        <v>0</v>
      </c>
      <c r="I59" s="115">
        <f t="shared" si="73"/>
        <v>0</v>
      </c>
      <c r="J59" s="116">
        <f t="shared" si="74"/>
        <v>0</v>
      </c>
      <c r="K59" s="97">
        <f t="shared" si="95"/>
        <v>0</v>
      </c>
      <c r="L59" s="9"/>
      <c r="M59" s="9">
        <f>GFA!L60</f>
        <v>0</v>
      </c>
      <c r="N59" s="9">
        <f>GFA!N60</f>
        <v>0</v>
      </c>
      <c r="O59" s="97">
        <f t="shared" si="75"/>
        <v>0</v>
      </c>
      <c r="P59" s="9">
        <f t="shared" si="76"/>
        <v>0</v>
      </c>
      <c r="Q59" s="115">
        <f t="shared" si="77"/>
        <v>0</v>
      </c>
      <c r="R59" s="116">
        <f t="shared" si="78"/>
        <v>0</v>
      </c>
      <c r="S59" s="97">
        <f t="shared" si="96"/>
        <v>0</v>
      </c>
      <c r="T59" s="9"/>
      <c r="U59" s="9">
        <f>GFA!T60</f>
        <v>0</v>
      </c>
      <c r="V59" s="9">
        <f>GFA!V60</f>
        <v>0</v>
      </c>
      <c r="W59" s="97">
        <f t="shared" si="79"/>
        <v>0</v>
      </c>
      <c r="X59" s="9">
        <f t="shared" si="80"/>
        <v>0</v>
      </c>
      <c r="Y59" s="115">
        <f t="shared" si="81"/>
        <v>0</v>
      </c>
      <c r="Z59" s="116">
        <f t="shared" si="82"/>
        <v>0</v>
      </c>
      <c r="AA59" s="97">
        <f t="shared" si="97"/>
        <v>0</v>
      </c>
      <c r="AB59" s="9"/>
      <c r="AC59" s="9">
        <f>GFA!AB60</f>
        <v>0</v>
      </c>
      <c r="AD59" s="9">
        <f>GFA!AD60</f>
        <v>0</v>
      </c>
      <c r="AE59" s="97">
        <f t="shared" si="83"/>
        <v>0</v>
      </c>
      <c r="AF59" s="9">
        <f t="shared" si="84"/>
        <v>0</v>
      </c>
      <c r="AG59" s="115">
        <f t="shared" si="85"/>
        <v>0</v>
      </c>
      <c r="AH59" s="116">
        <f t="shared" si="86"/>
        <v>0</v>
      </c>
      <c r="AI59" s="97">
        <f t="shared" si="98"/>
        <v>0</v>
      </c>
      <c r="AJ59" s="9"/>
      <c r="AK59" s="9">
        <f>GFA!AJ60</f>
        <v>0</v>
      </c>
      <c r="AL59" s="9">
        <f>GFA!AL60</f>
        <v>0</v>
      </c>
      <c r="AM59" s="97">
        <f t="shared" si="87"/>
        <v>0</v>
      </c>
      <c r="AN59" s="9">
        <f t="shared" si="88"/>
        <v>0</v>
      </c>
      <c r="AO59" s="115">
        <f t="shared" si="89"/>
        <v>0</v>
      </c>
      <c r="AP59" s="116">
        <f t="shared" si="90"/>
        <v>0</v>
      </c>
      <c r="AQ59" s="97">
        <f t="shared" si="99"/>
        <v>0</v>
      </c>
      <c r="AR59" s="9"/>
      <c r="AS59" s="9">
        <f>GFA!AR60</f>
        <v>0</v>
      </c>
      <c r="AT59" s="9">
        <f>GFA!AT60</f>
        <v>0</v>
      </c>
      <c r="AU59" s="97">
        <f t="shared" si="91"/>
        <v>0</v>
      </c>
      <c r="AV59" s="9">
        <f t="shared" si="92"/>
        <v>0</v>
      </c>
      <c r="AW59" s="115">
        <f t="shared" si="93"/>
        <v>0</v>
      </c>
      <c r="AX59" s="116">
        <f t="shared" si="94"/>
        <v>0</v>
      </c>
      <c r="AY59" s="97">
        <f t="shared" si="100"/>
        <v>0</v>
      </c>
    </row>
    <row r="60" spans="2:51" ht="31" x14ac:dyDescent="0.35">
      <c r="B60" s="84" t="s">
        <v>149</v>
      </c>
      <c r="C60" s="117">
        <v>3.3399999999999999E-2</v>
      </c>
      <c r="D60" s="9"/>
      <c r="E60" s="9">
        <f>GFA!D61</f>
        <v>0</v>
      </c>
      <c r="F60" s="9">
        <f>GFA!F61</f>
        <v>0</v>
      </c>
      <c r="G60" s="97">
        <f t="shared" si="72"/>
        <v>0</v>
      </c>
      <c r="H60" s="9">
        <v>0</v>
      </c>
      <c r="I60" s="115">
        <f t="shared" si="73"/>
        <v>0</v>
      </c>
      <c r="J60" s="116">
        <f t="shared" si="74"/>
        <v>0</v>
      </c>
      <c r="K60" s="97">
        <f t="shared" si="95"/>
        <v>0</v>
      </c>
      <c r="L60" s="9"/>
      <c r="M60" s="9">
        <f>GFA!L61</f>
        <v>0</v>
      </c>
      <c r="N60" s="9">
        <f>GFA!N61</f>
        <v>0</v>
      </c>
      <c r="O60" s="97">
        <f t="shared" si="75"/>
        <v>0</v>
      </c>
      <c r="P60" s="9">
        <f t="shared" si="76"/>
        <v>0</v>
      </c>
      <c r="Q60" s="115">
        <f t="shared" si="77"/>
        <v>0</v>
      </c>
      <c r="R60" s="116">
        <f t="shared" si="78"/>
        <v>0</v>
      </c>
      <c r="S60" s="97">
        <f t="shared" si="96"/>
        <v>0</v>
      </c>
      <c r="T60" s="9"/>
      <c r="U60" s="9">
        <f>GFA!T61</f>
        <v>0</v>
      </c>
      <c r="V60" s="9">
        <f>GFA!V61</f>
        <v>0</v>
      </c>
      <c r="W60" s="97">
        <f t="shared" si="79"/>
        <v>0</v>
      </c>
      <c r="X60" s="9">
        <f t="shared" si="80"/>
        <v>0</v>
      </c>
      <c r="Y60" s="115">
        <f t="shared" si="81"/>
        <v>0</v>
      </c>
      <c r="Z60" s="116">
        <f t="shared" si="82"/>
        <v>0</v>
      </c>
      <c r="AA60" s="97">
        <f t="shared" si="97"/>
        <v>0</v>
      </c>
      <c r="AB60" s="9"/>
      <c r="AC60" s="9">
        <f>GFA!AB61</f>
        <v>0</v>
      </c>
      <c r="AD60" s="9">
        <f>GFA!AD61</f>
        <v>0</v>
      </c>
      <c r="AE60" s="97">
        <f t="shared" si="83"/>
        <v>0</v>
      </c>
      <c r="AF60" s="9">
        <f t="shared" si="84"/>
        <v>0</v>
      </c>
      <c r="AG60" s="115">
        <f t="shared" si="85"/>
        <v>0</v>
      </c>
      <c r="AH60" s="116">
        <f t="shared" si="86"/>
        <v>0</v>
      </c>
      <c r="AI60" s="97">
        <f t="shared" si="98"/>
        <v>0</v>
      </c>
      <c r="AJ60" s="9"/>
      <c r="AK60" s="9">
        <f>GFA!AJ61</f>
        <v>0</v>
      </c>
      <c r="AL60" s="9">
        <f>GFA!AL61</f>
        <v>0</v>
      </c>
      <c r="AM60" s="97">
        <f t="shared" si="87"/>
        <v>0</v>
      </c>
      <c r="AN60" s="9">
        <f t="shared" si="88"/>
        <v>0</v>
      </c>
      <c r="AO60" s="115">
        <f t="shared" si="89"/>
        <v>0</v>
      </c>
      <c r="AP60" s="116">
        <f t="shared" si="90"/>
        <v>0</v>
      </c>
      <c r="AQ60" s="97">
        <f t="shared" si="99"/>
        <v>0</v>
      </c>
      <c r="AR60" s="9"/>
      <c r="AS60" s="9">
        <f>GFA!AR61</f>
        <v>0</v>
      </c>
      <c r="AT60" s="9">
        <f>GFA!AT61</f>
        <v>0</v>
      </c>
      <c r="AU60" s="97">
        <f t="shared" si="91"/>
        <v>0</v>
      </c>
      <c r="AV60" s="9">
        <f t="shared" si="92"/>
        <v>0</v>
      </c>
      <c r="AW60" s="115">
        <f t="shared" si="93"/>
        <v>0</v>
      </c>
      <c r="AX60" s="116">
        <f t="shared" si="94"/>
        <v>0</v>
      </c>
      <c r="AY60" s="97">
        <f t="shared" si="100"/>
        <v>0</v>
      </c>
    </row>
    <row r="61" spans="2:51" x14ac:dyDescent="0.35">
      <c r="B61" s="12" t="s">
        <v>27</v>
      </c>
      <c r="C61" s="12"/>
      <c r="D61" s="13"/>
      <c r="E61" s="13">
        <f t="shared" ref="E61:H61" si="101">SUM(E44:E60)</f>
        <v>2576.426326584</v>
      </c>
      <c r="F61" s="13">
        <f t="shared" si="101"/>
        <v>12.010000000000002</v>
      </c>
      <c r="G61" s="13">
        <f t="shared" si="101"/>
        <v>2329.5926939256001</v>
      </c>
      <c r="H61" s="13">
        <f t="shared" si="101"/>
        <v>2020.6664775715522</v>
      </c>
      <c r="I61" s="13"/>
      <c r="J61" s="13">
        <f t="shared" ref="J61:K61" si="102">SUM(J44:J60)</f>
        <v>308.92621635404799</v>
      </c>
      <c r="K61" s="13">
        <f t="shared" si="102"/>
        <v>19.246817519606893</v>
      </c>
      <c r="L61" s="13"/>
      <c r="M61" s="13">
        <f t="shared" ref="M61:P61" si="103">SUM(M44:M60)</f>
        <v>2588.1212421549994</v>
      </c>
      <c r="N61" s="13">
        <f t="shared" si="103"/>
        <v>13.770000000000001</v>
      </c>
      <c r="O61" s="13">
        <f t="shared" si="103"/>
        <v>2341.7021179394997</v>
      </c>
      <c r="P61" s="13">
        <f t="shared" si="103"/>
        <v>2039.9132950911589</v>
      </c>
      <c r="Q61" s="13"/>
      <c r="R61" s="13">
        <f t="shared" ref="R61:S61" si="104">SUM(R44:R60)</f>
        <v>301.9771161683413</v>
      </c>
      <c r="S61" s="13">
        <f t="shared" si="104"/>
        <v>20.117151015606417</v>
      </c>
      <c r="T61" s="13"/>
      <c r="U61" s="13">
        <f t="shared" ref="U61:X61" si="105">SUM(U44:U60)</f>
        <v>2598.5857934879991</v>
      </c>
      <c r="V61" s="13">
        <f t="shared" si="105"/>
        <v>33.239999999999995</v>
      </c>
      <c r="W61" s="13">
        <f t="shared" si="105"/>
        <v>2368.6432141392002</v>
      </c>
      <c r="X61" s="13">
        <f t="shared" si="105"/>
        <v>2060.0304461067653</v>
      </c>
      <c r="Y61" s="13"/>
      <c r="Z61" s="13">
        <f t="shared" ref="Z61:AA61" si="106">SUM(Z44:Z60)</f>
        <v>308.92294091243474</v>
      </c>
      <c r="AA61" s="13">
        <f t="shared" si="106"/>
        <v>21.943518951875795</v>
      </c>
      <c r="AB61" s="13"/>
      <c r="AC61" s="13">
        <f t="shared" ref="AC61:AF61" si="107">SUM(AC44:AC60)</f>
        <v>2617.1539548569995</v>
      </c>
      <c r="AD61" s="13">
        <f t="shared" si="107"/>
        <v>45.77</v>
      </c>
      <c r="AE61" s="13">
        <f t="shared" si="107"/>
        <v>2396.6315593713007</v>
      </c>
      <c r="AF61" s="13">
        <f t="shared" si="107"/>
        <v>2081.9739650586403</v>
      </c>
      <c r="AG61" s="13"/>
      <c r="AH61" s="13">
        <f t="shared" ref="AH61:AI61" si="108">SUM(AH44:AH60)</f>
        <v>314.84345475265945</v>
      </c>
      <c r="AI61" s="13">
        <f t="shared" si="108"/>
        <v>24.227348786955513</v>
      </c>
      <c r="AJ61" s="13"/>
      <c r="AK61" s="13">
        <f t="shared" ref="AK61:AN61" si="109">SUM(AK44:AK60)</f>
        <v>2662.9239548569994</v>
      </c>
      <c r="AL61" s="13">
        <f t="shared" si="109"/>
        <v>421.13</v>
      </c>
      <c r="AM61" s="13">
        <f t="shared" si="109"/>
        <v>2775.648559371301</v>
      </c>
      <c r="AN61" s="13">
        <f t="shared" si="109"/>
        <v>2106.2013138455964</v>
      </c>
      <c r="AO61" s="13"/>
      <c r="AP61" s="13">
        <f t="shared" ref="AP61:AQ61" si="110">SUM(AP44:AP60)</f>
        <v>669.50879352570416</v>
      </c>
      <c r="AQ61" s="13">
        <f t="shared" si="110"/>
        <v>56.121736667022574</v>
      </c>
      <c r="AR61" s="13"/>
      <c r="AS61" s="13">
        <f t="shared" ref="AS61:AV61" si="111">SUM(AS44:AS60)</f>
        <v>3084.0539548569996</v>
      </c>
      <c r="AT61" s="13">
        <f t="shared" si="111"/>
        <v>101.01282827980815</v>
      </c>
      <c r="AU61" s="13">
        <f t="shared" si="111"/>
        <v>2866.5601048231279</v>
      </c>
      <c r="AV61" s="13">
        <f t="shared" si="111"/>
        <v>2162.3230505126194</v>
      </c>
      <c r="AW61" s="13"/>
      <c r="AX61" s="13">
        <f t="shared" ref="AX61:AY61" si="112">SUM(AX44:AX60)</f>
        <v>704.29860231050873</v>
      </c>
      <c r="AY61" s="13">
        <f t="shared" si="112"/>
        <v>64.223699088632159</v>
      </c>
    </row>
    <row r="62" spans="2:51" x14ac:dyDescent="0.35">
      <c r="B62" s="70" t="s">
        <v>44</v>
      </c>
      <c r="C62" s="70"/>
      <c r="D62" s="118">
        <v>3.39</v>
      </c>
      <c r="E62" s="7"/>
      <c r="F62" s="7"/>
      <c r="G62" s="7"/>
      <c r="H62" s="7"/>
      <c r="I62" s="7"/>
      <c r="J62" s="7"/>
      <c r="K62" s="7"/>
      <c r="L62" s="118">
        <f>D62-1+3</f>
        <v>5.3900000000000006</v>
      </c>
      <c r="M62" s="7"/>
      <c r="N62" s="7"/>
      <c r="O62" s="7"/>
      <c r="P62" s="7"/>
      <c r="Q62" s="7"/>
      <c r="R62" s="7"/>
      <c r="S62" s="7"/>
      <c r="T62" s="118">
        <v>11</v>
      </c>
      <c r="U62" s="7"/>
      <c r="V62" s="7"/>
      <c r="W62" s="7"/>
      <c r="X62" s="7"/>
      <c r="Y62" s="7"/>
      <c r="Z62" s="7"/>
      <c r="AA62" s="7"/>
      <c r="AB62" s="118">
        <f>T62-1</f>
        <v>10</v>
      </c>
      <c r="AC62" s="7"/>
      <c r="AD62" s="7"/>
      <c r="AE62" s="7"/>
      <c r="AF62" s="7"/>
      <c r="AG62" s="7"/>
      <c r="AH62" s="7"/>
      <c r="AI62" s="7"/>
      <c r="AJ62" s="118">
        <f>AB62-1</f>
        <v>9</v>
      </c>
      <c r="AK62" s="7"/>
      <c r="AL62" s="7"/>
      <c r="AM62" s="7"/>
      <c r="AN62" s="7"/>
      <c r="AO62" s="7"/>
      <c r="AP62" s="7"/>
      <c r="AQ62" s="7"/>
      <c r="AR62" s="118">
        <f>AJ62-1</f>
        <v>8</v>
      </c>
      <c r="AS62" s="9"/>
      <c r="AT62" s="9"/>
      <c r="AU62" s="9"/>
      <c r="AV62" s="9"/>
      <c r="AW62" s="9"/>
      <c r="AX62" s="9"/>
      <c r="AY62" s="9"/>
    </row>
    <row r="63" spans="2:51" x14ac:dyDescent="0.35">
      <c r="B63" s="7" t="s">
        <v>133</v>
      </c>
      <c r="C63" s="14">
        <v>0</v>
      </c>
      <c r="D63" s="9"/>
      <c r="E63" s="9">
        <f>GFA!D64</f>
        <v>8.9340925849194797</v>
      </c>
      <c r="F63" s="9">
        <f>GFA!F64</f>
        <v>0.61960383878490699</v>
      </c>
      <c r="G63" s="97">
        <f t="shared" ref="G63:G117" si="113">90%*(E63+F63)</f>
        <v>8.5983267813339488</v>
      </c>
      <c r="H63" s="9">
        <v>0</v>
      </c>
      <c r="I63" s="115">
        <f t="shared" ref="I63:I79" si="114">IFERROR(H63/G63,0)</f>
        <v>0</v>
      </c>
      <c r="J63" s="116">
        <f t="shared" ref="J63:J79" si="115">MAX(G63-H63,0)</f>
        <v>8.5983267813339488</v>
      </c>
      <c r="K63" s="97">
        <f>IF(I63&lt;70%,MIN(J63,(E63+F63/2)*$C63),J63/D$62)</f>
        <v>0</v>
      </c>
      <c r="L63" s="9"/>
      <c r="M63" s="9">
        <f>GFA!L64</f>
        <v>9.5536964237043875</v>
      </c>
      <c r="N63" s="9">
        <f>GFA!N64</f>
        <v>0</v>
      </c>
      <c r="O63" s="97">
        <f t="shared" ref="O63:O79" si="116">90%*(M63+N63)</f>
        <v>8.5983267813339488</v>
      </c>
      <c r="P63" s="9">
        <f t="shared" ref="P63:P79" si="117">H63+K63</f>
        <v>0</v>
      </c>
      <c r="Q63" s="115">
        <f t="shared" ref="Q63:Q79" si="118">IFERROR(P63/O63,0)</f>
        <v>0</v>
      </c>
      <c r="R63" s="116">
        <f t="shared" ref="R63:R79" si="119">MAX(O63-P63,0)</f>
        <v>8.5983267813339488</v>
      </c>
      <c r="S63" s="97">
        <f>IF(Q63&lt;70%,MIN(R63,(M63+N63/2)*$C63),R63/L$62)</f>
        <v>0</v>
      </c>
      <c r="T63" s="9"/>
      <c r="U63" s="9">
        <f>GFA!T64</f>
        <v>9.5536964237043875</v>
      </c>
      <c r="V63" s="9">
        <f>GFA!V64</f>
        <v>0</v>
      </c>
      <c r="W63" s="97">
        <f t="shared" ref="W63:W79" si="120">90%*(U63+V63)</f>
        <v>8.5983267813339488</v>
      </c>
      <c r="X63" s="9">
        <f t="shared" ref="X63:X79" si="121">P63+S63</f>
        <v>0</v>
      </c>
      <c r="Y63" s="115">
        <f t="shared" ref="Y63:Y79" si="122">IFERROR(X63/W63,0)</f>
        <v>0</v>
      </c>
      <c r="Z63" s="116">
        <f t="shared" ref="Z63:Z79" si="123">MAX(W63-X63,0)</f>
        <v>8.5983267813339488</v>
      </c>
      <c r="AA63" s="97">
        <f>IF(Y63&lt;70%,MIN(Z63,(U63+V63/2)*$C63),Z63/T$62)</f>
        <v>0</v>
      </c>
      <c r="AB63" s="9"/>
      <c r="AC63" s="9">
        <f>GFA!AB64</f>
        <v>9.5536964237043875</v>
      </c>
      <c r="AD63" s="9">
        <f>GFA!AD64</f>
        <v>0</v>
      </c>
      <c r="AE63" s="97">
        <f t="shared" ref="AE63:AE79" si="124">90%*(AC63+AD63)</f>
        <v>8.5983267813339488</v>
      </c>
      <c r="AF63" s="9">
        <f t="shared" ref="AF63:AF79" si="125">X63+AA63</f>
        <v>0</v>
      </c>
      <c r="AG63" s="115">
        <f t="shared" ref="AG63:AG79" si="126">IFERROR(AF63/AE63,0)</f>
        <v>0</v>
      </c>
      <c r="AH63" s="116">
        <f t="shared" ref="AH63:AH79" si="127">MAX(AE63-AF63,0)</f>
        <v>8.5983267813339488</v>
      </c>
      <c r="AI63" s="97">
        <f>IF(AG63&lt;70%,MIN(AH63,(AC63+AD63/2)*$C63),AH63/AB$62)</f>
        <v>0</v>
      </c>
      <c r="AJ63" s="9"/>
      <c r="AK63" s="9">
        <f>GFA!AJ64</f>
        <v>9.5536964237043875</v>
      </c>
      <c r="AL63" s="9">
        <f>GFA!AL64</f>
        <v>0</v>
      </c>
      <c r="AM63" s="97">
        <f t="shared" ref="AM63:AM79" si="128">90%*(AK63+AL63)</f>
        <v>8.5983267813339488</v>
      </c>
      <c r="AN63" s="9">
        <f t="shared" ref="AN63:AN79" si="129">AF63+AI63</f>
        <v>0</v>
      </c>
      <c r="AO63" s="115">
        <f t="shared" ref="AO63:AO79" si="130">IFERROR(AN63/AM63,0)</f>
        <v>0</v>
      </c>
      <c r="AP63" s="116">
        <f t="shared" ref="AP63:AP79" si="131">MAX(AM63-AN63,0)</f>
        <v>8.5983267813339488</v>
      </c>
      <c r="AQ63" s="97">
        <f>IF(AO63&lt;70%,MIN(AP63,(AK63+AL63/2)*$C63),AP63/AJ$62)</f>
        <v>0</v>
      </c>
      <c r="AR63" s="9"/>
      <c r="AS63" s="9">
        <f>GFA!AR64</f>
        <v>9.5536964237043875</v>
      </c>
      <c r="AT63" s="9">
        <f>GFA!AT64</f>
        <v>0</v>
      </c>
      <c r="AU63" s="97">
        <f t="shared" ref="AU63:AU79" si="132">90%*(AS63+AT63)</f>
        <v>8.5983267813339488</v>
      </c>
      <c r="AV63" s="9">
        <f t="shared" ref="AV63:AV79" si="133">AN63+AQ63</f>
        <v>0</v>
      </c>
      <c r="AW63" s="115">
        <f t="shared" ref="AW63:AW79" si="134">IFERROR(AV63/AU63,0)</f>
        <v>0</v>
      </c>
      <c r="AX63" s="116">
        <f t="shared" ref="AX63:AX79" si="135">MAX(AU63-AV63,0)</f>
        <v>8.5983267813339488</v>
      </c>
      <c r="AY63" s="97">
        <f>IF(AW63&lt;70%,MIN(AX63,(AS63+AT63/2)*$C63),AX63/AR$62)</f>
        <v>0</v>
      </c>
    </row>
    <row r="64" spans="2:51" x14ac:dyDescent="0.35">
      <c r="B64" s="7" t="s">
        <v>134</v>
      </c>
      <c r="C64" s="14">
        <v>3.3399999999999999E-2</v>
      </c>
      <c r="D64" s="9"/>
      <c r="E64" s="9">
        <f>GFA!D65</f>
        <v>41.608737900000008</v>
      </c>
      <c r="F64" s="9">
        <f>GFA!F65</f>
        <v>0</v>
      </c>
      <c r="G64" s="97">
        <f t="shared" si="113"/>
        <v>37.447864110000012</v>
      </c>
      <c r="H64" s="9">
        <v>38.37604144731926</v>
      </c>
      <c r="I64" s="115">
        <f t="shared" si="114"/>
        <v>1.0247858551983846</v>
      </c>
      <c r="J64" s="116">
        <f t="shared" si="115"/>
        <v>0</v>
      </c>
      <c r="K64" s="97">
        <f t="shared" ref="K64:K79" si="136">IF(I64&lt;70%,MIN(J64,(E64+F64/2)*$C64),J64/D$62)</f>
        <v>0</v>
      </c>
      <c r="L64" s="9"/>
      <c r="M64" s="9">
        <f>GFA!L65</f>
        <v>41.608737900000008</v>
      </c>
      <c r="N64" s="9">
        <f>GFA!N65</f>
        <v>0</v>
      </c>
      <c r="O64" s="97">
        <f t="shared" si="116"/>
        <v>37.447864110000012</v>
      </c>
      <c r="P64" s="9">
        <f t="shared" si="117"/>
        <v>38.37604144731926</v>
      </c>
      <c r="Q64" s="115">
        <f t="shared" si="118"/>
        <v>1.0247858551983846</v>
      </c>
      <c r="R64" s="116">
        <f t="shared" si="119"/>
        <v>0</v>
      </c>
      <c r="S64" s="97">
        <f t="shared" ref="S64:S79" si="137">IF(Q64&lt;70%,MIN(R64,(M64+N64/2)*$C64),R64/L$62)</f>
        <v>0</v>
      </c>
      <c r="T64" s="9"/>
      <c r="U64" s="9">
        <f>GFA!T65</f>
        <v>41.608737900000008</v>
      </c>
      <c r="V64" s="9">
        <f>GFA!V65</f>
        <v>0</v>
      </c>
      <c r="W64" s="97">
        <f t="shared" si="120"/>
        <v>37.447864110000012</v>
      </c>
      <c r="X64" s="9">
        <f t="shared" si="121"/>
        <v>38.37604144731926</v>
      </c>
      <c r="Y64" s="115">
        <f t="shared" si="122"/>
        <v>1.0247858551983846</v>
      </c>
      <c r="Z64" s="116">
        <f t="shared" si="123"/>
        <v>0</v>
      </c>
      <c r="AA64" s="97">
        <f t="shared" ref="AA64:AA79" si="138">IF(Y64&lt;70%,MIN(Z64,(U64+V64/2)*$C64),Z64/T$62)</f>
        <v>0</v>
      </c>
      <c r="AB64" s="9"/>
      <c r="AC64" s="9">
        <f>GFA!AB65</f>
        <v>41.350434267000011</v>
      </c>
      <c r="AD64" s="9">
        <f>GFA!AD65</f>
        <v>0</v>
      </c>
      <c r="AE64" s="97">
        <f t="shared" si="124"/>
        <v>37.21539084030001</v>
      </c>
      <c r="AF64" s="9">
        <f t="shared" si="125"/>
        <v>38.37604144731926</v>
      </c>
      <c r="AG64" s="115">
        <f t="shared" si="126"/>
        <v>1.0311873819087343</v>
      </c>
      <c r="AH64" s="116">
        <f t="shared" si="127"/>
        <v>0</v>
      </c>
      <c r="AI64" s="97">
        <f t="shared" ref="AI64:AI79" si="139">IF(AG64&lt;70%,MIN(AH64,(AC64+AD64/2)*$C64),AH64/AB$62)</f>
        <v>0</v>
      </c>
      <c r="AJ64" s="9"/>
      <c r="AK64" s="9">
        <f>GFA!AJ65</f>
        <v>41.350434267000011</v>
      </c>
      <c r="AL64" s="9">
        <f>GFA!AL65</f>
        <v>0</v>
      </c>
      <c r="AM64" s="97">
        <f t="shared" si="128"/>
        <v>37.21539084030001</v>
      </c>
      <c r="AN64" s="9">
        <f t="shared" si="129"/>
        <v>38.37604144731926</v>
      </c>
      <c r="AO64" s="115">
        <f t="shared" si="130"/>
        <v>1.0311873819087343</v>
      </c>
      <c r="AP64" s="116">
        <f t="shared" si="131"/>
        <v>0</v>
      </c>
      <c r="AQ64" s="97">
        <f t="shared" ref="AQ64:AQ79" si="140">IF(AO64&lt;70%,MIN(AP64,(AK64+AL64/2)*$C64),AP64/AJ$62)</f>
        <v>0</v>
      </c>
      <c r="AR64" s="9"/>
      <c r="AS64" s="9">
        <f>GFA!AR65</f>
        <v>41.350434267000011</v>
      </c>
      <c r="AT64" s="9">
        <f>GFA!AT65</f>
        <v>0</v>
      </c>
      <c r="AU64" s="97">
        <f t="shared" si="132"/>
        <v>37.21539084030001</v>
      </c>
      <c r="AV64" s="9">
        <f t="shared" si="133"/>
        <v>38.37604144731926</v>
      </c>
      <c r="AW64" s="115">
        <f t="shared" si="134"/>
        <v>1.0311873819087343</v>
      </c>
      <c r="AX64" s="116">
        <f t="shared" si="135"/>
        <v>0</v>
      </c>
      <c r="AY64" s="97">
        <f t="shared" ref="AY64:AY79" si="141">IF(AW64&lt;70%,MIN(AX64,(AS64+AT64/2)*$C64),AX64/AR$62)</f>
        <v>0</v>
      </c>
    </row>
    <row r="65" spans="2:51" ht="31" x14ac:dyDescent="0.35">
      <c r="B65" s="84" t="s">
        <v>135</v>
      </c>
      <c r="C65" s="117">
        <v>5.28E-2</v>
      </c>
      <c r="D65" s="9"/>
      <c r="E65" s="9">
        <f>GFA!D66</f>
        <v>0</v>
      </c>
      <c r="F65" s="9">
        <f>GFA!F66</f>
        <v>0</v>
      </c>
      <c r="G65" s="97">
        <f t="shared" si="113"/>
        <v>0</v>
      </c>
      <c r="H65" s="9">
        <v>0</v>
      </c>
      <c r="I65" s="115">
        <f t="shared" si="114"/>
        <v>0</v>
      </c>
      <c r="J65" s="116">
        <f t="shared" si="115"/>
        <v>0</v>
      </c>
      <c r="K65" s="97">
        <f t="shared" si="136"/>
        <v>0</v>
      </c>
      <c r="L65" s="9"/>
      <c r="M65" s="9">
        <f>GFA!L66</f>
        <v>0</v>
      </c>
      <c r="N65" s="9">
        <f>GFA!N66</f>
        <v>0</v>
      </c>
      <c r="O65" s="97">
        <f t="shared" si="116"/>
        <v>0</v>
      </c>
      <c r="P65" s="9">
        <f t="shared" si="117"/>
        <v>0</v>
      </c>
      <c r="Q65" s="115">
        <f t="shared" si="118"/>
        <v>0</v>
      </c>
      <c r="R65" s="116">
        <f t="shared" si="119"/>
        <v>0</v>
      </c>
      <c r="S65" s="97">
        <f t="shared" si="137"/>
        <v>0</v>
      </c>
      <c r="T65" s="9"/>
      <c r="U65" s="9">
        <f>GFA!T66</f>
        <v>0</v>
      </c>
      <c r="V65" s="9">
        <f>GFA!V66</f>
        <v>0</v>
      </c>
      <c r="W65" s="97">
        <f t="shared" si="120"/>
        <v>0</v>
      </c>
      <c r="X65" s="9">
        <f t="shared" si="121"/>
        <v>0</v>
      </c>
      <c r="Y65" s="115">
        <f t="shared" si="122"/>
        <v>0</v>
      </c>
      <c r="Z65" s="116">
        <f t="shared" si="123"/>
        <v>0</v>
      </c>
      <c r="AA65" s="97">
        <f t="shared" si="138"/>
        <v>0</v>
      </c>
      <c r="AB65" s="9"/>
      <c r="AC65" s="9">
        <f>GFA!AB66</f>
        <v>0</v>
      </c>
      <c r="AD65" s="9">
        <f>GFA!AD66</f>
        <v>0</v>
      </c>
      <c r="AE65" s="97">
        <f t="shared" si="124"/>
        <v>0</v>
      </c>
      <c r="AF65" s="9">
        <f t="shared" si="125"/>
        <v>0</v>
      </c>
      <c r="AG65" s="115">
        <f t="shared" si="126"/>
        <v>0</v>
      </c>
      <c r="AH65" s="116">
        <f t="shared" si="127"/>
        <v>0</v>
      </c>
      <c r="AI65" s="97">
        <f t="shared" si="139"/>
        <v>0</v>
      </c>
      <c r="AJ65" s="9"/>
      <c r="AK65" s="9">
        <f>GFA!AJ66</f>
        <v>0</v>
      </c>
      <c r="AL65" s="9">
        <f>GFA!AL66</f>
        <v>0</v>
      </c>
      <c r="AM65" s="97">
        <f t="shared" si="128"/>
        <v>0</v>
      </c>
      <c r="AN65" s="9">
        <f t="shared" si="129"/>
        <v>0</v>
      </c>
      <c r="AO65" s="115">
        <f t="shared" si="130"/>
        <v>0</v>
      </c>
      <c r="AP65" s="116">
        <f t="shared" si="131"/>
        <v>0</v>
      </c>
      <c r="AQ65" s="97">
        <f t="shared" si="140"/>
        <v>0</v>
      </c>
      <c r="AR65" s="9"/>
      <c r="AS65" s="9">
        <f>GFA!AR66</f>
        <v>0</v>
      </c>
      <c r="AT65" s="9">
        <f>GFA!AT66</f>
        <v>0</v>
      </c>
      <c r="AU65" s="97">
        <f t="shared" si="132"/>
        <v>0</v>
      </c>
      <c r="AV65" s="9">
        <f t="shared" si="133"/>
        <v>0</v>
      </c>
      <c r="AW65" s="115">
        <f t="shared" si="134"/>
        <v>0</v>
      </c>
      <c r="AX65" s="116">
        <f t="shared" si="135"/>
        <v>0</v>
      </c>
      <c r="AY65" s="97">
        <f t="shared" si="141"/>
        <v>0</v>
      </c>
    </row>
    <row r="66" spans="2:51" x14ac:dyDescent="0.35">
      <c r="B66" s="7" t="s">
        <v>136</v>
      </c>
      <c r="C66" s="14">
        <v>5.28E-2</v>
      </c>
      <c r="D66" s="9"/>
      <c r="E66" s="9">
        <f>GFA!D67</f>
        <v>27.191425151235617</v>
      </c>
      <c r="F66" s="9">
        <f>GFA!F67</f>
        <v>0</v>
      </c>
      <c r="G66" s="97">
        <f t="shared" si="113"/>
        <v>24.472282636112055</v>
      </c>
      <c r="H66" s="9">
        <v>24.48867187694702</v>
      </c>
      <c r="I66" s="115">
        <f t="shared" si="114"/>
        <v>1.0006697062582459</v>
      </c>
      <c r="J66" s="116">
        <f t="shared" si="115"/>
        <v>0</v>
      </c>
      <c r="K66" s="97">
        <f t="shared" si="136"/>
        <v>0</v>
      </c>
      <c r="L66" s="9"/>
      <c r="M66" s="9">
        <f>GFA!L67</f>
        <v>27.191425151235617</v>
      </c>
      <c r="N66" s="9">
        <f>GFA!N67</f>
        <v>9.0680344536556809</v>
      </c>
      <c r="O66" s="97">
        <f t="shared" si="116"/>
        <v>32.633513644402171</v>
      </c>
      <c r="P66" s="9">
        <f t="shared" si="117"/>
        <v>24.48867187694702</v>
      </c>
      <c r="Q66" s="115">
        <f t="shared" si="118"/>
        <v>0.75041480803424654</v>
      </c>
      <c r="R66" s="116">
        <f t="shared" si="119"/>
        <v>8.1448417674551514</v>
      </c>
      <c r="S66" s="97">
        <f t="shared" si="137"/>
        <v>1.5111023687300835</v>
      </c>
      <c r="T66" s="9"/>
      <c r="U66" s="9">
        <f>GFA!T67</f>
        <v>36.259459604891298</v>
      </c>
      <c r="V66" s="9">
        <f>GFA!V67</f>
        <v>0</v>
      </c>
      <c r="W66" s="97">
        <f t="shared" si="120"/>
        <v>32.633513644402171</v>
      </c>
      <c r="X66" s="9">
        <f t="shared" si="121"/>
        <v>25.999774245677102</v>
      </c>
      <c r="Y66" s="115">
        <f t="shared" si="122"/>
        <v>0.79672003845460893</v>
      </c>
      <c r="Z66" s="116">
        <f t="shared" si="123"/>
        <v>6.6337393987250692</v>
      </c>
      <c r="AA66" s="97">
        <f t="shared" si="138"/>
        <v>0.60306721806591534</v>
      </c>
      <c r="AB66" s="9"/>
      <c r="AC66" s="9">
        <f>GFA!AB67</f>
        <v>32.571365037891297</v>
      </c>
      <c r="AD66" s="9">
        <f>GFA!AD67</f>
        <v>0</v>
      </c>
      <c r="AE66" s="97">
        <f t="shared" si="124"/>
        <v>29.314228534102167</v>
      </c>
      <c r="AF66" s="9">
        <f t="shared" si="125"/>
        <v>26.602841463743019</v>
      </c>
      <c r="AG66" s="115">
        <f t="shared" si="126"/>
        <v>0.90750610860507874</v>
      </c>
      <c r="AH66" s="116">
        <f t="shared" si="127"/>
        <v>2.7113870703591481</v>
      </c>
      <c r="AI66" s="97">
        <f t="shared" si="139"/>
        <v>0.27113870703591481</v>
      </c>
      <c r="AJ66" s="9"/>
      <c r="AK66" s="9">
        <f>GFA!AJ67</f>
        <v>32.571365037891297</v>
      </c>
      <c r="AL66" s="9">
        <f>GFA!AL67</f>
        <v>0</v>
      </c>
      <c r="AM66" s="97">
        <f t="shared" si="128"/>
        <v>29.314228534102167</v>
      </c>
      <c r="AN66" s="9">
        <f t="shared" si="129"/>
        <v>26.873980170778935</v>
      </c>
      <c r="AO66" s="115">
        <f t="shared" si="130"/>
        <v>0.91675549774457088</v>
      </c>
      <c r="AP66" s="116">
        <f t="shared" si="131"/>
        <v>2.4402483633232315</v>
      </c>
      <c r="AQ66" s="97">
        <f t="shared" si="140"/>
        <v>0.27113870703591458</v>
      </c>
      <c r="AR66" s="9"/>
      <c r="AS66" s="9">
        <f>GFA!AR67</f>
        <v>32.571365037891297</v>
      </c>
      <c r="AT66" s="9">
        <f>GFA!AT67</f>
        <v>0</v>
      </c>
      <c r="AU66" s="97">
        <f t="shared" si="132"/>
        <v>29.314228534102167</v>
      </c>
      <c r="AV66" s="9">
        <f t="shared" si="133"/>
        <v>27.145118877814848</v>
      </c>
      <c r="AW66" s="115">
        <f t="shared" si="134"/>
        <v>0.92600488688406302</v>
      </c>
      <c r="AX66" s="116">
        <f t="shared" si="135"/>
        <v>2.1691096562873184</v>
      </c>
      <c r="AY66" s="97">
        <f t="shared" si="141"/>
        <v>0.27113870703591481</v>
      </c>
    </row>
    <row r="67" spans="2:51" x14ac:dyDescent="0.35">
      <c r="B67" s="7" t="s">
        <v>137</v>
      </c>
      <c r="C67" s="14">
        <v>3.3399999999999999E-2</v>
      </c>
      <c r="D67" s="9"/>
      <c r="E67" s="9">
        <f>GFA!D68</f>
        <v>63.901504200000005</v>
      </c>
      <c r="F67" s="9">
        <f>GFA!F68</f>
        <v>15.811365771891159</v>
      </c>
      <c r="G67" s="97">
        <f t="shared" si="113"/>
        <v>71.741582974702055</v>
      </c>
      <c r="H67" s="9">
        <v>57.511353780000007</v>
      </c>
      <c r="I67" s="115">
        <f t="shared" si="114"/>
        <v>0.80164601051917139</v>
      </c>
      <c r="J67" s="116">
        <f t="shared" si="115"/>
        <v>14.230229194702048</v>
      </c>
      <c r="K67" s="97">
        <f t="shared" si="136"/>
        <v>4.1977077270507515</v>
      </c>
      <c r="L67" s="9"/>
      <c r="M67" s="9">
        <f>GFA!L68</f>
        <v>79.712869971891166</v>
      </c>
      <c r="N67" s="9">
        <f>GFA!N68</f>
        <v>84.591855073613488</v>
      </c>
      <c r="O67" s="97">
        <f t="shared" si="116"/>
        <v>147.87425254095419</v>
      </c>
      <c r="P67" s="9">
        <f t="shared" si="117"/>
        <v>61.709061507050762</v>
      </c>
      <c r="Q67" s="115">
        <f t="shared" si="118"/>
        <v>0.41730768167338844</v>
      </c>
      <c r="R67" s="116">
        <f t="shared" si="119"/>
        <v>86.165191033903426</v>
      </c>
      <c r="S67" s="97">
        <f t="shared" si="137"/>
        <v>4.0750938367905105</v>
      </c>
      <c r="T67" s="9"/>
      <c r="U67" s="9">
        <f>GFA!T68</f>
        <v>164.30472504550465</v>
      </c>
      <c r="V67" s="9">
        <f>GFA!V68</f>
        <v>0</v>
      </c>
      <c r="W67" s="97">
        <f t="shared" si="120"/>
        <v>147.87425254095419</v>
      </c>
      <c r="X67" s="9">
        <f t="shared" si="121"/>
        <v>65.784155343841277</v>
      </c>
      <c r="Y67" s="115">
        <f t="shared" si="122"/>
        <v>0.44486551386369422</v>
      </c>
      <c r="Z67" s="116">
        <f t="shared" si="123"/>
        <v>82.090097197112911</v>
      </c>
      <c r="AA67" s="97">
        <f t="shared" si="138"/>
        <v>5.4877778165198556</v>
      </c>
      <c r="AB67" s="9"/>
      <c r="AC67" s="9">
        <f>GFA!AB68</f>
        <v>154.48788137750466</v>
      </c>
      <c r="AD67" s="9">
        <f>GFA!AD68</f>
        <v>0</v>
      </c>
      <c r="AE67" s="97">
        <f t="shared" si="124"/>
        <v>139.03909323975421</v>
      </c>
      <c r="AF67" s="9">
        <f t="shared" si="125"/>
        <v>71.271933160361129</v>
      </c>
      <c r="AG67" s="115">
        <f t="shared" si="126"/>
        <v>0.51260355271061986</v>
      </c>
      <c r="AH67" s="116">
        <f t="shared" si="127"/>
        <v>67.767160079393079</v>
      </c>
      <c r="AI67" s="97">
        <f t="shared" si="139"/>
        <v>5.159895238008656</v>
      </c>
      <c r="AJ67" s="9"/>
      <c r="AK67" s="9">
        <f>GFA!AJ68</f>
        <v>154.48788137750466</v>
      </c>
      <c r="AL67" s="9">
        <f>GFA!AL68</f>
        <v>0</v>
      </c>
      <c r="AM67" s="97">
        <f t="shared" si="128"/>
        <v>139.03909323975421</v>
      </c>
      <c r="AN67" s="9">
        <f t="shared" si="129"/>
        <v>76.431828398369788</v>
      </c>
      <c r="AO67" s="115">
        <f t="shared" si="130"/>
        <v>0.54971466382173095</v>
      </c>
      <c r="AP67" s="116">
        <f t="shared" si="131"/>
        <v>62.607264841384421</v>
      </c>
      <c r="AQ67" s="97">
        <f t="shared" si="140"/>
        <v>5.159895238008656</v>
      </c>
      <c r="AR67" s="9"/>
      <c r="AS67" s="9">
        <f>GFA!AR68</f>
        <v>154.48788137750466</v>
      </c>
      <c r="AT67" s="9">
        <f>GFA!AT68</f>
        <v>0</v>
      </c>
      <c r="AU67" s="97">
        <f t="shared" si="132"/>
        <v>139.03909323975421</v>
      </c>
      <c r="AV67" s="9">
        <f t="shared" si="133"/>
        <v>81.591723636378447</v>
      </c>
      <c r="AW67" s="115">
        <f t="shared" si="134"/>
        <v>0.58682577493284205</v>
      </c>
      <c r="AX67" s="116">
        <f t="shared" si="135"/>
        <v>57.447369603375762</v>
      </c>
      <c r="AY67" s="97">
        <f t="shared" si="141"/>
        <v>5.159895238008656</v>
      </c>
    </row>
    <row r="68" spans="2:51" x14ac:dyDescent="0.35">
      <c r="B68" s="7" t="s">
        <v>138</v>
      </c>
      <c r="C68" s="14">
        <v>5.28E-2</v>
      </c>
      <c r="D68" s="9"/>
      <c r="E68" s="9">
        <f>GFA!D69</f>
        <v>1101.2170417471764</v>
      </c>
      <c r="F68" s="9">
        <f>GFA!F69</f>
        <v>23.287361345009923</v>
      </c>
      <c r="G68" s="97">
        <f t="shared" si="113"/>
        <v>1012.0539627829677</v>
      </c>
      <c r="H68" s="9">
        <v>614.6516551489849</v>
      </c>
      <c r="I68" s="115">
        <f t="shared" si="114"/>
        <v>0.60733091095143055</v>
      </c>
      <c r="J68" s="116">
        <f t="shared" si="115"/>
        <v>397.40230763398279</v>
      </c>
      <c r="K68" s="97">
        <f t="shared" si="136"/>
        <v>58.759046143759178</v>
      </c>
      <c r="L68" s="9"/>
      <c r="M68" s="9">
        <f>GFA!L69</f>
        <v>1124.5044030921863</v>
      </c>
      <c r="N68" s="9">
        <f>GFA!N69</f>
        <v>11.820603187572475</v>
      </c>
      <c r="O68" s="97">
        <f t="shared" si="116"/>
        <v>1022.6925056517829</v>
      </c>
      <c r="P68" s="9">
        <f t="shared" si="117"/>
        <v>673.41070129274408</v>
      </c>
      <c r="Q68" s="115">
        <f t="shared" si="118"/>
        <v>0.65846840332868739</v>
      </c>
      <c r="R68" s="116">
        <f t="shared" si="119"/>
        <v>349.2818043590388</v>
      </c>
      <c r="S68" s="97">
        <f t="shared" si="137"/>
        <v>59.685896407419349</v>
      </c>
      <c r="T68" s="9"/>
      <c r="U68" s="9">
        <f>GFA!T69</f>
        <v>1136.3250062797588</v>
      </c>
      <c r="V68" s="9">
        <f>GFA!V69</f>
        <v>8.4994074276835381</v>
      </c>
      <c r="W68" s="97">
        <f t="shared" si="120"/>
        <v>1030.3419723366981</v>
      </c>
      <c r="X68" s="9">
        <f t="shared" si="121"/>
        <v>733.09659770016344</v>
      </c>
      <c r="Y68" s="115">
        <f t="shared" si="122"/>
        <v>0.71150804042038973</v>
      </c>
      <c r="Z68" s="116">
        <f t="shared" si="123"/>
        <v>297.24537463653462</v>
      </c>
      <c r="AA68" s="97">
        <f t="shared" si="138"/>
        <v>27.022306785139509</v>
      </c>
      <c r="AB68" s="9"/>
      <c r="AC68" s="9">
        <f>GFA!AB69</f>
        <v>1031.9896758634422</v>
      </c>
      <c r="AD68" s="9">
        <f>GFA!AD69</f>
        <v>48.269099999999995</v>
      </c>
      <c r="AE68" s="97">
        <f t="shared" si="124"/>
        <v>972.232898277098</v>
      </c>
      <c r="AF68" s="9">
        <f t="shared" si="125"/>
        <v>760.11890448530301</v>
      </c>
      <c r="AG68" s="115">
        <f t="shared" si="126"/>
        <v>0.78182800215083859</v>
      </c>
      <c r="AH68" s="116">
        <f t="shared" si="127"/>
        <v>212.113993791795</v>
      </c>
      <c r="AI68" s="97">
        <f t="shared" si="139"/>
        <v>21.2113993791795</v>
      </c>
      <c r="AJ68" s="9"/>
      <c r="AK68" s="9">
        <f>GFA!AJ69</f>
        <v>1080.2587758634422</v>
      </c>
      <c r="AL68" s="9">
        <f>GFA!AL69</f>
        <v>88.809999999999988</v>
      </c>
      <c r="AM68" s="97">
        <f t="shared" si="128"/>
        <v>1052.1618982770981</v>
      </c>
      <c r="AN68" s="9">
        <f t="shared" si="129"/>
        <v>781.33030386448252</v>
      </c>
      <c r="AO68" s="115">
        <f t="shared" si="130"/>
        <v>0.74259513212168304</v>
      </c>
      <c r="AP68" s="116">
        <f t="shared" si="131"/>
        <v>270.83159441261557</v>
      </c>
      <c r="AQ68" s="97">
        <f t="shared" si="140"/>
        <v>30.092399379179508</v>
      </c>
      <c r="AR68" s="9"/>
      <c r="AS68" s="9">
        <f>GFA!AR69</f>
        <v>1169.0687758634422</v>
      </c>
      <c r="AT68" s="9">
        <f>GFA!AT69</f>
        <v>0</v>
      </c>
      <c r="AU68" s="97">
        <f t="shared" si="132"/>
        <v>1052.1618982770981</v>
      </c>
      <c r="AV68" s="9">
        <f t="shared" si="133"/>
        <v>811.422703243662</v>
      </c>
      <c r="AW68" s="115">
        <f t="shared" si="134"/>
        <v>0.77119567299705161</v>
      </c>
      <c r="AX68" s="116">
        <f t="shared" si="135"/>
        <v>240.73919503343609</v>
      </c>
      <c r="AY68" s="97">
        <f t="shared" si="141"/>
        <v>30.092399379179511</v>
      </c>
    </row>
    <row r="69" spans="2:51" x14ac:dyDescent="0.35">
      <c r="B69" s="7" t="s">
        <v>139</v>
      </c>
      <c r="C69" s="14">
        <v>0.18</v>
      </c>
      <c r="D69" s="9"/>
      <c r="E69" s="9">
        <f>GFA!D70</f>
        <v>0</v>
      </c>
      <c r="F69" s="9">
        <f>GFA!F70</f>
        <v>0</v>
      </c>
      <c r="G69" s="97">
        <f t="shared" si="113"/>
        <v>0</v>
      </c>
      <c r="H69" s="9">
        <v>0</v>
      </c>
      <c r="I69" s="115">
        <f t="shared" si="114"/>
        <v>0</v>
      </c>
      <c r="J69" s="116">
        <f t="shared" si="115"/>
        <v>0</v>
      </c>
      <c r="K69" s="97">
        <f t="shared" si="136"/>
        <v>0</v>
      </c>
      <c r="L69" s="9"/>
      <c r="M69" s="9">
        <f>GFA!L70</f>
        <v>0</v>
      </c>
      <c r="N69" s="9">
        <f>GFA!N70</f>
        <v>0</v>
      </c>
      <c r="O69" s="97">
        <f t="shared" si="116"/>
        <v>0</v>
      </c>
      <c r="P69" s="9">
        <f t="shared" si="117"/>
        <v>0</v>
      </c>
      <c r="Q69" s="115">
        <f t="shared" si="118"/>
        <v>0</v>
      </c>
      <c r="R69" s="116">
        <f t="shared" si="119"/>
        <v>0</v>
      </c>
      <c r="S69" s="97">
        <f t="shared" si="137"/>
        <v>0</v>
      </c>
      <c r="T69" s="9"/>
      <c r="U69" s="9">
        <f>GFA!T70</f>
        <v>0</v>
      </c>
      <c r="V69" s="9">
        <f>GFA!V70</f>
        <v>0</v>
      </c>
      <c r="W69" s="97">
        <f t="shared" si="120"/>
        <v>0</v>
      </c>
      <c r="X69" s="9">
        <f t="shared" si="121"/>
        <v>0</v>
      </c>
      <c r="Y69" s="115">
        <f t="shared" si="122"/>
        <v>0</v>
      </c>
      <c r="Z69" s="116">
        <f t="shared" si="123"/>
        <v>0</v>
      </c>
      <c r="AA69" s="97">
        <f t="shared" si="138"/>
        <v>0</v>
      </c>
      <c r="AB69" s="9"/>
      <c r="AC69" s="9">
        <f>GFA!AB70</f>
        <v>0</v>
      </c>
      <c r="AD69" s="9">
        <f>GFA!AD70</f>
        <v>0</v>
      </c>
      <c r="AE69" s="97">
        <f t="shared" si="124"/>
        <v>0</v>
      </c>
      <c r="AF69" s="9">
        <f t="shared" si="125"/>
        <v>0</v>
      </c>
      <c r="AG69" s="115">
        <f t="shared" si="126"/>
        <v>0</v>
      </c>
      <c r="AH69" s="116">
        <f t="shared" si="127"/>
        <v>0</v>
      </c>
      <c r="AI69" s="97">
        <f t="shared" si="139"/>
        <v>0</v>
      </c>
      <c r="AJ69" s="9"/>
      <c r="AK69" s="9">
        <f>GFA!AJ70</f>
        <v>0</v>
      </c>
      <c r="AL69" s="9">
        <f>GFA!AL70</f>
        <v>0</v>
      </c>
      <c r="AM69" s="97">
        <f t="shared" si="128"/>
        <v>0</v>
      </c>
      <c r="AN69" s="9">
        <f t="shared" si="129"/>
        <v>0</v>
      </c>
      <c r="AO69" s="115">
        <f t="shared" si="130"/>
        <v>0</v>
      </c>
      <c r="AP69" s="116">
        <f t="shared" si="131"/>
        <v>0</v>
      </c>
      <c r="AQ69" s="97">
        <f t="shared" si="140"/>
        <v>0</v>
      </c>
      <c r="AR69" s="9"/>
      <c r="AS69" s="9">
        <f>GFA!AR70</f>
        <v>0</v>
      </c>
      <c r="AT69" s="9">
        <f>GFA!AT70</f>
        <v>0</v>
      </c>
      <c r="AU69" s="97">
        <f t="shared" si="132"/>
        <v>0</v>
      </c>
      <c r="AV69" s="9">
        <f t="shared" si="133"/>
        <v>0</v>
      </c>
      <c r="AW69" s="115">
        <f t="shared" si="134"/>
        <v>0</v>
      </c>
      <c r="AX69" s="116">
        <f t="shared" si="135"/>
        <v>0</v>
      </c>
      <c r="AY69" s="97">
        <f t="shared" si="141"/>
        <v>0</v>
      </c>
    </row>
    <row r="70" spans="2:51" x14ac:dyDescent="0.35">
      <c r="B70" s="7" t="s">
        <v>140</v>
      </c>
      <c r="C70" s="14">
        <v>5.28E-2</v>
      </c>
      <c r="D70" s="9"/>
      <c r="E70" s="9">
        <f>GFA!D71</f>
        <v>0</v>
      </c>
      <c r="F70" s="9">
        <f>GFA!F71</f>
        <v>0</v>
      </c>
      <c r="G70" s="97">
        <f t="shared" si="113"/>
        <v>0</v>
      </c>
      <c r="H70" s="9">
        <v>0</v>
      </c>
      <c r="I70" s="115">
        <f t="shared" si="114"/>
        <v>0</v>
      </c>
      <c r="J70" s="116">
        <f t="shared" si="115"/>
        <v>0</v>
      </c>
      <c r="K70" s="97">
        <f t="shared" si="136"/>
        <v>0</v>
      </c>
      <c r="L70" s="9"/>
      <c r="M70" s="9">
        <f>GFA!L71</f>
        <v>0</v>
      </c>
      <c r="N70" s="9">
        <f>GFA!N71</f>
        <v>0</v>
      </c>
      <c r="O70" s="97">
        <f t="shared" si="116"/>
        <v>0</v>
      </c>
      <c r="P70" s="9">
        <f t="shared" si="117"/>
        <v>0</v>
      </c>
      <c r="Q70" s="115">
        <f t="shared" si="118"/>
        <v>0</v>
      </c>
      <c r="R70" s="116">
        <f t="shared" si="119"/>
        <v>0</v>
      </c>
      <c r="S70" s="97">
        <f t="shared" si="137"/>
        <v>0</v>
      </c>
      <c r="T70" s="9"/>
      <c r="U70" s="9">
        <f>GFA!T71</f>
        <v>0</v>
      </c>
      <c r="V70" s="9">
        <f>GFA!V71</f>
        <v>0</v>
      </c>
      <c r="W70" s="97">
        <f t="shared" si="120"/>
        <v>0</v>
      </c>
      <c r="X70" s="9">
        <f t="shared" si="121"/>
        <v>0</v>
      </c>
      <c r="Y70" s="115">
        <f t="shared" si="122"/>
        <v>0</v>
      </c>
      <c r="Z70" s="116">
        <f t="shared" si="123"/>
        <v>0</v>
      </c>
      <c r="AA70" s="97">
        <f t="shared" si="138"/>
        <v>0</v>
      </c>
      <c r="AB70" s="9"/>
      <c r="AC70" s="9">
        <f>GFA!AB71</f>
        <v>0</v>
      </c>
      <c r="AD70" s="9">
        <f>GFA!AD71</f>
        <v>0</v>
      </c>
      <c r="AE70" s="97">
        <f t="shared" si="124"/>
        <v>0</v>
      </c>
      <c r="AF70" s="9">
        <f t="shared" si="125"/>
        <v>0</v>
      </c>
      <c r="AG70" s="115">
        <f t="shared" si="126"/>
        <v>0</v>
      </c>
      <c r="AH70" s="116">
        <f t="shared" si="127"/>
        <v>0</v>
      </c>
      <c r="AI70" s="97">
        <f t="shared" si="139"/>
        <v>0</v>
      </c>
      <c r="AJ70" s="9"/>
      <c r="AK70" s="9">
        <f>GFA!AJ71</f>
        <v>0</v>
      </c>
      <c r="AL70" s="9">
        <f>GFA!AL71</f>
        <v>0</v>
      </c>
      <c r="AM70" s="97">
        <f t="shared" si="128"/>
        <v>0</v>
      </c>
      <c r="AN70" s="9">
        <f t="shared" si="129"/>
        <v>0</v>
      </c>
      <c r="AO70" s="115">
        <f t="shared" si="130"/>
        <v>0</v>
      </c>
      <c r="AP70" s="116">
        <f t="shared" si="131"/>
        <v>0</v>
      </c>
      <c r="AQ70" s="97">
        <f t="shared" si="140"/>
        <v>0</v>
      </c>
      <c r="AR70" s="9"/>
      <c r="AS70" s="9">
        <f>GFA!AR71</f>
        <v>0</v>
      </c>
      <c r="AT70" s="9">
        <f>GFA!AT71</f>
        <v>0</v>
      </c>
      <c r="AU70" s="97">
        <f t="shared" si="132"/>
        <v>0</v>
      </c>
      <c r="AV70" s="9">
        <f t="shared" si="133"/>
        <v>0</v>
      </c>
      <c r="AW70" s="115">
        <f t="shared" si="134"/>
        <v>0</v>
      </c>
      <c r="AX70" s="116">
        <f t="shared" si="135"/>
        <v>0</v>
      </c>
      <c r="AY70" s="97">
        <f t="shared" si="141"/>
        <v>0</v>
      </c>
    </row>
    <row r="71" spans="2:51" x14ac:dyDescent="0.35">
      <c r="B71" s="7" t="s">
        <v>141</v>
      </c>
      <c r="C71" s="14">
        <v>5.28E-2</v>
      </c>
      <c r="D71" s="9"/>
      <c r="E71" s="9">
        <f>GFA!D72</f>
        <v>1.1177398031642642</v>
      </c>
      <c r="F71" s="9">
        <f>GFA!F72</f>
        <v>0</v>
      </c>
      <c r="G71" s="97">
        <f t="shared" si="113"/>
        <v>1.0059658228478379</v>
      </c>
      <c r="H71" s="9">
        <v>0.90691510060390845</v>
      </c>
      <c r="I71" s="115">
        <f t="shared" si="114"/>
        <v>0.90153669240618739</v>
      </c>
      <c r="J71" s="116">
        <f t="shared" si="115"/>
        <v>9.9050722243929412E-2</v>
      </c>
      <c r="K71" s="97">
        <f t="shared" si="136"/>
        <v>2.9218502136852332E-2</v>
      </c>
      <c r="L71" s="9"/>
      <c r="M71" s="9">
        <f>GFA!L72</f>
        <v>1.1177398031642642</v>
      </c>
      <c r="N71" s="9">
        <f>GFA!N72</f>
        <v>0</v>
      </c>
      <c r="O71" s="97">
        <f t="shared" si="116"/>
        <v>1.0059658228478379</v>
      </c>
      <c r="P71" s="9">
        <f t="shared" si="117"/>
        <v>0.93613360274076074</v>
      </c>
      <c r="Q71" s="115">
        <f t="shared" si="118"/>
        <v>0.93058191588518813</v>
      </c>
      <c r="R71" s="116">
        <f t="shared" si="119"/>
        <v>6.9832220107077125E-2</v>
      </c>
      <c r="S71" s="97">
        <f t="shared" si="137"/>
        <v>1.2955884992036572E-2</v>
      </c>
      <c r="T71" s="9"/>
      <c r="U71" s="9">
        <f>GFA!T72</f>
        <v>1.1177398031642642</v>
      </c>
      <c r="V71" s="9">
        <f>GFA!V72</f>
        <v>0</v>
      </c>
      <c r="W71" s="97">
        <f t="shared" si="120"/>
        <v>1.0059658228478379</v>
      </c>
      <c r="X71" s="9">
        <f t="shared" si="121"/>
        <v>0.94908948773279733</v>
      </c>
      <c r="Y71" s="115">
        <f t="shared" si="122"/>
        <v>0.94346096674136848</v>
      </c>
      <c r="Z71" s="116">
        <f t="shared" si="123"/>
        <v>5.6876335115040533E-2</v>
      </c>
      <c r="AA71" s="97">
        <f t="shared" si="138"/>
        <v>5.1705759195491393E-3</v>
      </c>
      <c r="AB71" s="9"/>
      <c r="AC71" s="9">
        <f>GFA!AB72</f>
        <v>-0.31496359483573588</v>
      </c>
      <c r="AD71" s="9">
        <f>GFA!AD72</f>
        <v>0</v>
      </c>
      <c r="AE71" s="97">
        <f t="shared" si="124"/>
        <v>-0.28346723535216228</v>
      </c>
      <c r="AF71" s="9">
        <f t="shared" si="125"/>
        <v>0.9542600636523465</v>
      </c>
      <c r="AG71" s="115">
        <f t="shared" si="126"/>
        <v>-3.3663857569529418</v>
      </c>
      <c r="AH71" s="116">
        <f t="shared" si="127"/>
        <v>0</v>
      </c>
      <c r="AI71" s="97">
        <f t="shared" si="139"/>
        <v>-1.6630077807326855E-2</v>
      </c>
      <c r="AJ71" s="9"/>
      <c r="AK71" s="9">
        <f>GFA!AJ72</f>
        <v>-0.31496359483573588</v>
      </c>
      <c r="AL71" s="9">
        <f>GFA!AL72</f>
        <v>0</v>
      </c>
      <c r="AM71" s="97">
        <f t="shared" si="128"/>
        <v>-0.28346723535216228</v>
      </c>
      <c r="AN71" s="9">
        <f t="shared" si="129"/>
        <v>0.93762998584501966</v>
      </c>
      <c r="AO71" s="115">
        <f t="shared" si="130"/>
        <v>-3.307719090286275</v>
      </c>
      <c r="AP71" s="116">
        <f t="shared" si="131"/>
        <v>0</v>
      </c>
      <c r="AQ71" s="97">
        <f t="shared" si="140"/>
        <v>-1.6630077807326855E-2</v>
      </c>
      <c r="AR71" s="9"/>
      <c r="AS71" s="9">
        <f>GFA!AR72</f>
        <v>-0.31496359483573588</v>
      </c>
      <c r="AT71" s="9">
        <f>GFA!AT72</f>
        <v>0</v>
      </c>
      <c r="AU71" s="97">
        <f t="shared" si="132"/>
        <v>-0.28346723535216228</v>
      </c>
      <c r="AV71" s="9">
        <f t="shared" si="133"/>
        <v>0.92099990803769283</v>
      </c>
      <c r="AW71" s="115">
        <f t="shared" si="134"/>
        <v>-3.2490524236196086</v>
      </c>
      <c r="AX71" s="116">
        <f t="shared" si="135"/>
        <v>0</v>
      </c>
      <c r="AY71" s="97">
        <f t="shared" si="141"/>
        <v>-1.6630077807326855E-2</v>
      </c>
    </row>
    <row r="72" spans="2:51" x14ac:dyDescent="0.35">
      <c r="B72" s="7" t="s">
        <v>142</v>
      </c>
      <c r="C72" s="14">
        <v>9.5000000000000001E-2</v>
      </c>
      <c r="D72" s="9"/>
      <c r="E72" s="9">
        <f>GFA!D73</f>
        <v>1.5982151362684931</v>
      </c>
      <c r="F72" s="9">
        <f>GFA!F73</f>
        <v>0.10395132471533608</v>
      </c>
      <c r="G72" s="97">
        <f t="shared" si="113"/>
        <v>1.5319498148854462</v>
      </c>
      <c r="H72" s="9">
        <v>1.2300291515182351</v>
      </c>
      <c r="I72" s="115">
        <f t="shared" si="114"/>
        <v>0.80291739296317111</v>
      </c>
      <c r="J72" s="116">
        <f t="shared" si="115"/>
        <v>0.30192066336721113</v>
      </c>
      <c r="K72" s="97">
        <f t="shared" si="136"/>
        <v>8.9062142586197976E-2</v>
      </c>
      <c r="L72" s="9"/>
      <c r="M72" s="9">
        <f>GFA!L73</f>
        <v>1.7021664609838292</v>
      </c>
      <c r="N72" s="9">
        <f>GFA!N73</f>
        <v>1.705760102283326</v>
      </c>
      <c r="O72" s="97">
        <f t="shared" si="116"/>
        <v>3.0671339069404397</v>
      </c>
      <c r="P72" s="9">
        <f t="shared" si="117"/>
        <v>1.319091294104433</v>
      </c>
      <c r="Q72" s="115">
        <f t="shared" si="118"/>
        <v>0.43007293914345823</v>
      </c>
      <c r="R72" s="116">
        <f t="shared" si="119"/>
        <v>1.7480426128360067</v>
      </c>
      <c r="S72" s="97">
        <f t="shared" si="137"/>
        <v>0.24272941865192177</v>
      </c>
      <c r="T72" s="9"/>
      <c r="U72" s="9">
        <f>GFA!T73</f>
        <v>3.1034005372671554</v>
      </c>
      <c r="V72" s="9">
        <f>GFA!V73</f>
        <v>0</v>
      </c>
      <c r="W72" s="97">
        <f t="shared" si="120"/>
        <v>2.7930604835404398</v>
      </c>
      <c r="X72" s="9">
        <f t="shared" si="121"/>
        <v>1.5618207127563548</v>
      </c>
      <c r="Y72" s="115">
        <f t="shared" si="122"/>
        <v>0.55917898017611678</v>
      </c>
      <c r="Z72" s="116">
        <f t="shared" si="123"/>
        <v>1.231239770784085</v>
      </c>
      <c r="AA72" s="97">
        <f t="shared" si="138"/>
        <v>0.29482305104037976</v>
      </c>
      <c r="AB72" s="9"/>
      <c r="AC72" s="9">
        <f>GFA!AB73</f>
        <v>3.1034005372671554</v>
      </c>
      <c r="AD72" s="9">
        <f>GFA!AD73</f>
        <v>0</v>
      </c>
      <c r="AE72" s="97">
        <f t="shared" si="124"/>
        <v>2.7930604835404398</v>
      </c>
      <c r="AF72" s="9">
        <f t="shared" si="125"/>
        <v>1.8566437637967346</v>
      </c>
      <c r="AG72" s="115">
        <f t="shared" si="126"/>
        <v>0.6647345357316724</v>
      </c>
      <c r="AH72" s="116">
        <f t="shared" si="127"/>
        <v>0.93641671974370522</v>
      </c>
      <c r="AI72" s="97">
        <f t="shared" si="139"/>
        <v>0.29482305104037976</v>
      </c>
      <c r="AJ72" s="9"/>
      <c r="AK72" s="9">
        <f>GFA!AJ73</f>
        <v>3.1034005372671554</v>
      </c>
      <c r="AL72" s="9">
        <f>GFA!AL73</f>
        <v>0</v>
      </c>
      <c r="AM72" s="97">
        <f t="shared" si="128"/>
        <v>2.7930604835404398</v>
      </c>
      <c r="AN72" s="9">
        <f t="shared" si="129"/>
        <v>2.1514668148371143</v>
      </c>
      <c r="AO72" s="115">
        <f t="shared" si="130"/>
        <v>0.77029009128722792</v>
      </c>
      <c r="AP72" s="116">
        <f t="shared" si="131"/>
        <v>0.64159366870332546</v>
      </c>
      <c r="AQ72" s="97">
        <f t="shared" si="140"/>
        <v>7.1288185411480604E-2</v>
      </c>
      <c r="AR72" s="9"/>
      <c r="AS72" s="9">
        <f>GFA!AR73</f>
        <v>3.1034005372671554</v>
      </c>
      <c r="AT72" s="9">
        <f>GFA!AT73</f>
        <v>0</v>
      </c>
      <c r="AU72" s="97">
        <f t="shared" si="132"/>
        <v>2.7930604835404398</v>
      </c>
      <c r="AV72" s="9">
        <f t="shared" si="133"/>
        <v>2.2227550002485947</v>
      </c>
      <c r="AW72" s="115">
        <f t="shared" si="134"/>
        <v>0.79581341447753584</v>
      </c>
      <c r="AX72" s="116">
        <f t="shared" si="135"/>
        <v>0.57030548329184505</v>
      </c>
      <c r="AY72" s="97">
        <f t="shared" si="141"/>
        <v>7.1288185411480631E-2</v>
      </c>
    </row>
    <row r="73" spans="2:51" x14ac:dyDescent="0.35">
      <c r="B73" s="7" t="s">
        <v>143</v>
      </c>
      <c r="C73" s="14">
        <v>6.3299999999999995E-2</v>
      </c>
      <c r="D73" s="9"/>
      <c r="E73" s="9">
        <f>GFA!D74</f>
        <v>1.163161632588797</v>
      </c>
      <c r="F73" s="9">
        <f>GFA!F74</f>
        <v>0.12772064908654049</v>
      </c>
      <c r="G73" s="97">
        <f t="shared" si="113"/>
        <v>1.161794053507804</v>
      </c>
      <c r="H73" s="9">
        <v>0.71511062006024839</v>
      </c>
      <c r="I73" s="115">
        <f t="shared" si="114"/>
        <v>0.61552270637047535</v>
      </c>
      <c r="J73" s="116">
        <f t="shared" si="115"/>
        <v>0.44668343344755557</v>
      </c>
      <c r="K73" s="97">
        <f t="shared" si="136"/>
        <v>7.7670489886459859E-2</v>
      </c>
      <c r="L73" s="9"/>
      <c r="M73" s="9">
        <f>GFA!L74</f>
        <v>1.2908822816753376</v>
      </c>
      <c r="N73" s="9">
        <f>GFA!N74</f>
        <v>8.0723585712502072E-2</v>
      </c>
      <c r="O73" s="97">
        <f t="shared" si="116"/>
        <v>1.2344452806490558</v>
      </c>
      <c r="P73" s="9">
        <f t="shared" si="117"/>
        <v>0.79278110994670825</v>
      </c>
      <c r="Q73" s="115">
        <f t="shared" si="118"/>
        <v>0.64221648571565193</v>
      </c>
      <c r="R73" s="116">
        <f t="shared" si="119"/>
        <v>0.44166417070234754</v>
      </c>
      <c r="S73" s="97">
        <f t="shared" si="137"/>
        <v>8.4267749917849549E-2</v>
      </c>
      <c r="T73" s="9"/>
      <c r="U73" s="9">
        <f>GFA!T74</f>
        <v>1.3716058673878397</v>
      </c>
      <c r="V73" s="9">
        <f>GFA!V74</f>
        <v>0</v>
      </c>
      <c r="W73" s="97">
        <f t="shared" si="120"/>
        <v>1.2344452806490558</v>
      </c>
      <c r="X73" s="9">
        <f t="shared" si="121"/>
        <v>0.87704885986455783</v>
      </c>
      <c r="Y73" s="115">
        <f t="shared" si="122"/>
        <v>0.71048014327813425</v>
      </c>
      <c r="Z73" s="116">
        <f t="shared" si="123"/>
        <v>0.35739642078449796</v>
      </c>
      <c r="AA73" s="97">
        <f t="shared" si="138"/>
        <v>3.2490583707681632E-2</v>
      </c>
      <c r="AB73" s="9"/>
      <c r="AC73" s="9">
        <f>GFA!AB74</f>
        <v>1.3716058673878397</v>
      </c>
      <c r="AD73" s="9">
        <f>GFA!AD74</f>
        <v>0</v>
      </c>
      <c r="AE73" s="97">
        <f t="shared" si="124"/>
        <v>1.2344452806490558</v>
      </c>
      <c r="AF73" s="9">
        <f t="shared" si="125"/>
        <v>0.90953944357223948</v>
      </c>
      <c r="AG73" s="115">
        <f t="shared" si="126"/>
        <v>0.73680013025284941</v>
      </c>
      <c r="AH73" s="116">
        <f t="shared" si="127"/>
        <v>0.32490583707681631</v>
      </c>
      <c r="AI73" s="97">
        <f t="shared" si="139"/>
        <v>3.2490583707681632E-2</v>
      </c>
      <c r="AJ73" s="9"/>
      <c r="AK73" s="9">
        <f>GFA!AJ74</f>
        <v>1.3716058673878397</v>
      </c>
      <c r="AL73" s="9">
        <f>GFA!AL74</f>
        <v>0</v>
      </c>
      <c r="AM73" s="97">
        <f t="shared" si="128"/>
        <v>1.2344452806490558</v>
      </c>
      <c r="AN73" s="9">
        <f t="shared" si="129"/>
        <v>0.94203002727992113</v>
      </c>
      <c r="AO73" s="115">
        <f t="shared" si="130"/>
        <v>0.76312011722756445</v>
      </c>
      <c r="AP73" s="116">
        <f t="shared" si="131"/>
        <v>0.29241525336913465</v>
      </c>
      <c r="AQ73" s="97">
        <f t="shared" si="140"/>
        <v>3.2490583707681625E-2</v>
      </c>
      <c r="AR73" s="9"/>
      <c r="AS73" s="9">
        <f>GFA!AR74</f>
        <v>1.3716058673878397</v>
      </c>
      <c r="AT73" s="9">
        <f>GFA!AT74</f>
        <v>0</v>
      </c>
      <c r="AU73" s="97">
        <f t="shared" si="132"/>
        <v>1.2344452806490558</v>
      </c>
      <c r="AV73" s="9">
        <f t="shared" si="133"/>
        <v>0.97452061098760279</v>
      </c>
      <c r="AW73" s="115">
        <f t="shared" si="134"/>
        <v>0.7894401042022795</v>
      </c>
      <c r="AX73" s="116">
        <f t="shared" si="135"/>
        <v>0.259924669661453</v>
      </c>
      <c r="AY73" s="97">
        <f t="shared" si="141"/>
        <v>3.2490583707681625E-2</v>
      </c>
    </row>
    <row r="74" spans="2:51" x14ac:dyDescent="0.35">
      <c r="B74" s="7" t="s">
        <v>144</v>
      </c>
      <c r="C74" s="14">
        <v>6.3299999999999995E-2</v>
      </c>
      <c r="D74" s="9"/>
      <c r="E74" s="9">
        <f>GFA!D75</f>
        <v>4.8182990199609783</v>
      </c>
      <c r="F74" s="9">
        <f>GFA!F75</f>
        <v>0.58881703631326932</v>
      </c>
      <c r="G74" s="97">
        <f t="shared" si="113"/>
        <v>4.8664044506468231</v>
      </c>
      <c r="H74" s="9">
        <v>3.1879159566875046</v>
      </c>
      <c r="I74" s="115">
        <f t="shared" si="114"/>
        <v>0.65508652004125545</v>
      </c>
      <c r="J74" s="116">
        <f t="shared" si="115"/>
        <v>1.6784884939593185</v>
      </c>
      <c r="K74" s="97">
        <f t="shared" si="136"/>
        <v>0.32363438716284487</v>
      </c>
      <c r="L74" s="9"/>
      <c r="M74" s="9">
        <f>GFA!L75</f>
        <v>5.4071160562742477</v>
      </c>
      <c r="N74" s="9">
        <f>GFA!N75</f>
        <v>0.5643708061625361</v>
      </c>
      <c r="O74" s="97">
        <f t="shared" si="116"/>
        <v>5.3743381761931053</v>
      </c>
      <c r="P74" s="9">
        <f t="shared" si="117"/>
        <v>3.5115503438503497</v>
      </c>
      <c r="Q74" s="115">
        <f t="shared" si="118"/>
        <v>0.65339214406074919</v>
      </c>
      <c r="R74" s="116">
        <f t="shared" si="119"/>
        <v>1.8627878323427556</v>
      </c>
      <c r="S74" s="97">
        <f t="shared" si="137"/>
        <v>0.36013278237720414</v>
      </c>
      <c r="T74" s="9"/>
      <c r="U74" s="9">
        <f>GFA!T75</f>
        <v>5.9714868624367838</v>
      </c>
      <c r="V74" s="9">
        <f>GFA!V75</f>
        <v>0.17059257231646258</v>
      </c>
      <c r="W74" s="97">
        <f t="shared" si="120"/>
        <v>5.5278714912779217</v>
      </c>
      <c r="X74" s="9">
        <f t="shared" si="121"/>
        <v>3.8716831262275537</v>
      </c>
      <c r="Y74" s="115">
        <f t="shared" si="122"/>
        <v>0.70039311375751723</v>
      </c>
      <c r="Z74" s="116">
        <f t="shared" si="123"/>
        <v>1.6561883650503679</v>
      </c>
      <c r="AA74" s="97">
        <f t="shared" si="138"/>
        <v>0.15056257864094255</v>
      </c>
      <c r="AB74" s="9"/>
      <c r="AC74" s="9">
        <f>GFA!AB75</f>
        <v>6.1420794347532466</v>
      </c>
      <c r="AD74" s="9">
        <f>GFA!AD75</f>
        <v>0</v>
      </c>
      <c r="AE74" s="97">
        <f t="shared" si="124"/>
        <v>5.5278714912779217</v>
      </c>
      <c r="AF74" s="9">
        <f t="shared" si="125"/>
        <v>4.0222457048684959</v>
      </c>
      <c r="AG74" s="115">
        <f t="shared" si="126"/>
        <v>0.72763010341592471</v>
      </c>
      <c r="AH74" s="116">
        <f t="shared" si="127"/>
        <v>1.5056257864094258</v>
      </c>
      <c r="AI74" s="97">
        <f t="shared" si="139"/>
        <v>0.15056257864094258</v>
      </c>
      <c r="AJ74" s="9"/>
      <c r="AK74" s="9">
        <f>GFA!AJ75</f>
        <v>6.1420794347532466</v>
      </c>
      <c r="AL74" s="9">
        <f>GFA!AL75</f>
        <v>0</v>
      </c>
      <c r="AM74" s="97">
        <f t="shared" si="128"/>
        <v>5.5278714912779217</v>
      </c>
      <c r="AN74" s="9">
        <f t="shared" si="129"/>
        <v>4.172808283509438</v>
      </c>
      <c r="AO74" s="115">
        <f t="shared" si="130"/>
        <v>0.75486709307433209</v>
      </c>
      <c r="AP74" s="116">
        <f t="shared" si="131"/>
        <v>1.3550632077684837</v>
      </c>
      <c r="AQ74" s="97">
        <f t="shared" si="140"/>
        <v>0.15056257864094263</v>
      </c>
      <c r="AR74" s="9"/>
      <c r="AS74" s="9">
        <f>GFA!AR75</f>
        <v>6.1420794347532466</v>
      </c>
      <c r="AT74" s="9">
        <f>GFA!AT75</f>
        <v>0</v>
      </c>
      <c r="AU74" s="97">
        <f t="shared" si="132"/>
        <v>5.5278714912779217</v>
      </c>
      <c r="AV74" s="9">
        <f t="shared" si="133"/>
        <v>4.323370862150381</v>
      </c>
      <c r="AW74" s="115">
        <f t="shared" si="134"/>
        <v>0.78210408273273979</v>
      </c>
      <c r="AX74" s="116">
        <f t="shared" si="135"/>
        <v>1.2045006291275406</v>
      </c>
      <c r="AY74" s="97">
        <f t="shared" si="141"/>
        <v>0.15056257864094258</v>
      </c>
    </row>
    <row r="75" spans="2:51" x14ac:dyDescent="0.35">
      <c r="B75" s="7" t="s">
        <v>145</v>
      </c>
      <c r="C75" s="14">
        <v>6.3299999999999995E-2</v>
      </c>
      <c r="D75" s="9"/>
      <c r="E75" s="9">
        <f>GFA!D76</f>
        <v>0</v>
      </c>
      <c r="F75" s="9">
        <f>GFA!F76</f>
        <v>0</v>
      </c>
      <c r="G75" s="97">
        <f t="shared" si="113"/>
        <v>0</v>
      </c>
      <c r="H75" s="9">
        <v>0</v>
      </c>
      <c r="I75" s="115">
        <f t="shared" si="114"/>
        <v>0</v>
      </c>
      <c r="J75" s="116">
        <f t="shared" si="115"/>
        <v>0</v>
      </c>
      <c r="K75" s="97">
        <f t="shared" si="136"/>
        <v>0</v>
      </c>
      <c r="L75" s="9"/>
      <c r="M75" s="9">
        <f>GFA!L76</f>
        <v>0</v>
      </c>
      <c r="N75" s="9">
        <f>GFA!N76</f>
        <v>0</v>
      </c>
      <c r="O75" s="97">
        <f t="shared" si="116"/>
        <v>0</v>
      </c>
      <c r="P75" s="9">
        <f t="shared" si="117"/>
        <v>0</v>
      </c>
      <c r="Q75" s="115">
        <f t="shared" si="118"/>
        <v>0</v>
      </c>
      <c r="R75" s="116">
        <f t="shared" si="119"/>
        <v>0</v>
      </c>
      <c r="S75" s="97">
        <f t="shared" si="137"/>
        <v>0</v>
      </c>
      <c r="T75" s="9"/>
      <c r="U75" s="9">
        <f>GFA!T76</f>
        <v>0</v>
      </c>
      <c r="V75" s="9">
        <f>GFA!V76</f>
        <v>0</v>
      </c>
      <c r="W75" s="97">
        <f t="shared" si="120"/>
        <v>0</v>
      </c>
      <c r="X75" s="9">
        <f t="shared" si="121"/>
        <v>0</v>
      </c>
      <c r="Y75" s="115">
        <f t="shared" si="122"/>
        <v>0</v>
      </c>
      <c r="Z75" s="116">
        <f t="shared" si="123"/>
        <v>0</v>
      </c>
      <c r="AA75" s="97">
        <f t="shared" si="138"/>
        <v>0</v>
      </c>
      <c r="AB75" s="9"/>
      <c r="AC75" s="9">
        <f>GFA!AB76</f>
        <v>0</v>
      </c>
      <c r="AD75" s="9">
        <f>GFA!AD76</f>
        <v>0</v>
      </c>
      <c r="AE75" s="97">
        <f t="shared" si="124"/>
        <v>0</v>
      </c>
      <c r="AF75" s="9">
        <f t="shared" si="125"/>
        <v>0</v>
      </c>
      <c r="AG75" s="115">
        <f t="shared" si="126"/>
        <v>0</v>
      </c>
      <c r="AH75" s="116">
        <f t="shared" si="127"/>
        <v>0</v>
      </c>
      <c r="AI75" s="97">
        <f t="shared" si="139"/>
        <v>0</v>
      </c>
      <c r="AJ75" s="9"/>
      <c r="AK75" s="9">
        <f>GFA!AJ76</f>
        <v>0</v>
      </c>
      <c r="AL75" s="9">
        <f>GFA!AL76</f>
        <v>0</v>
      </c>
      <c r="AM75" s="97">
        <f t="shared" si="128"/>
        <v>0</v>
      </c>
      <c r="AN75" s="9">
        <f t="shared" si="129"/>
        <v>0</v>
      </c>
      <c r="AO75" s="115">
        <f t="shared" si="130"/>
        <v>0</v>
      </c>
      <c r="AP75" s="116">
        <f t="shared" si="131"/>
        <v>0</v>
      </c>
      <c r="AQ75" s="97">
        <f t="shared" si="140"/>
        <v>0</v>
      </c>
      <c r="AR75" s="9"/>
      <c r="AS75" s="9">
        <f>GFA!AR76</f>
        <v>0</v>
      </c>
      <c r="AT75" s="9">
        <f>GFA!AT76</f>
        <v>0</v>
      </c>
      <c r="AU75" s="97">
        <f t="shared" si="132"/>
        <v>0</v>
      </c>
      <c r="AV75" s="9">
        <f t="shared" si="133"/>
        <v>0</v>
      </c>
      <c r="AW75" s="115">
        <f t="shared" si="134"/>
        <v>0</v>
      </c>
      <c r="AX75" s="116">
        <f t="shared" si="135"/>
        <v>0</v>
      </c>
      <c r="AY75" s="97">
        <f t="shared" si="141"/>
        <v>0</v>
      </c>
    </row>
    <row r="76" spans="2:51" x14ac:dyDescent="0.35">
      <c r="B76" s="7" t="s">
        <v>146</v>
      </c>
      <c r="C76" s="14">
        <v>0.15</v>
      </c>
      <c r="D76" s="9"/>
      <c r="E76" s="9">
        <f>GFA!D77</f>
        <v>0</v>
      </c>
      <c r="F76" s="9">
        <f>GFA!F77</f>
        <v>0</v>
      </c>
      <c r="G76" s="97">
        <f t="shared" si="113"/>
        <v>0</v>
      </c>
      <c r="H76" s="9">
        <v>0</v>
      </c>
      <c r="I76" s="115">
        <f t="shared" si="114"/>
        <v>0</v>
      </c>
      <c r="J76" s="116">
        <f t="shared" si="115"/>
        <v>0</v>
      </c>
      <c r="K76" s="97">
        <f t="shared" si="136"/>
        <v>0</v>
      </c>
      <c r="L76" s="9"/>
      <c r="M76" s="9">
        <f>GFA!L77</f>
        <v>0</v>
      </c>
      <c r="N76" s="9">
        <f>GFA!N77</f>
        <v>0</v>
      </c>
      <c r="O76" s="97">
        <f t="shared" si="116"/>
        <v>0</v>
      </c>
      <c r="P76" s="9">
        <f t="shared" si="117"/>
        <v>0</v>
      </c>
      <c r="Q76" s="115">
        <f t="shared" si="118"/>
        <v>0</v>
      </c>
      <c r="R76" s="116">
        <f t="shared" si="119"/>
        <v>0</v>
      </c>
      <c r="S76" s="97">
        <f t="shared" si="137"/>
        <v>0</v>
      </c>
      <c r="T76" s="9"/>
      <c r="U76" s="9">
        <f>GFA!T77</f>
        <v>0</v>
      </c>
      <c r="V76" s="9">
        <f>GFA!V77</f>
        <v>0</v>
      </c>
      <c r="W76" s="97">
        <f t="shared" si="120"/>
        <v>0</v>
      </c>
      <c r="X76" s="9">
        <f t="shared" si="121"/>
        <v>0</v>
      </c>
      <c r="Y76" s="115">
        <f t="shared" si="122"/>
        <v>0</v>
      </c>
      <c r="Z76" s="116">
        <f t="shared" si="123"/>
        <v>0</v>
      </c>
      <c r="AA76" s="97">
        <f t="shared" si="138"/>
        <v>0</v>
      </c>
      <c r="AB76" s="9"/>
      <c r="AC76" s="9">
        <f>GFA!AB77</f>
        <v>0</v>
      </c>
      <c r="AD76" s="9">
        <f>GFA!AD77</f>
        <v>0</v>
      </c>
      <c r="AE76" s="97">
        <f t="shared" si="124"/>
        <v>0</v>
      </c>
      <c r="AF76" s="9">
        <f t="shared" si="125"/>
        <v>0</v>
      </c>
      <c r="AG76" s="115">
        <f t="shared" si="126"/>
        <v>0</v>
      </c>
      <c r="AH76" s="116">
        <f t="shared" si="127"/>
        <v>0</v>
      </c>
      <c r="AI76" s="97">
        <f t="shared" si="139"/>
        <v>0</v>
      </c>
      <c r="AJ76" s="9"/>
      <c r="AK76" s="9">
        <f>GFA!AJ77</f>
        <v>0</v>
      </c>
      <c r="AL76" s="9">
        <f>GFA!AL77</f>
        <v>0</v>
      </c>
      <c r="AM76" s="97">
        <f t="shared" si="128"/>
        <v>0</v>
      </c>
      <c r="AN76" s="9">
        <f t="shared" si="129"/>
        <v>0</v>
      </c>
      <c r="AO76" s="115">
        <f t="shared" si="130"/>
        <v>0</v>
      </c>
      <c r="AP76" s="116">
        <f t="shared" si="131"/>
        <v>0</v>
      </c>
      <c r="AQ76" s="97">
        <f t="shared" si="140"/>
        <v>0</v>
      </c>
      <c r="AR76" s="9"/>
      <c r="AS76" s="9">
        <f>GFA!AR77</f>
        <v>0</v>
      </c>
      <c r="AT76" s="9">
        <f>GFA!AT77</f>
        <v>0</v>
      </c>
      <c r="AU76" s="97">
        <f t="shared" si="132"/>
        <v>0</v>
      </c>
      <c r="AV76" s="9">
        <f t="shared" si="133"/>
        <v>0</v>
      </c>
      <c r="AW76" s="115">
        <f t="shared" si="134"/>
        <v>0</v>
      </c>
      <c r="AX76" s="116">
        <f t="shared" si="135"/>
        <v>0</v>
      </c>
      <c r="AY76" s="97">
        <f t="shared" si="141"/>
        <v>0</v>
      </c>
    </row>
    <row r="77" spans="2:51" x14ac:dyDescent="0.35">
      <c r="B77" s="7" t="s">
        <v>147</v>
      </c>
      <c r="C77" s="14">
        <v>0.3</v>
      </c>
      <c r="D77" s="9"/>
      <c r="E77" s="9">
        <f>GFA!D78</f>
        <v>0</v>
      </c>
      <c r="F77" s="9">
        <f>GFA!F78</f>
        <v>8.1180034198878467E-2</v>
      </c>
      <c r="G77" s="97">
        <f t="shared" si="113"/>
        <v>7.3062030778990622E-2</v>
      </c>
      <c r="H77" s="9">
        <v>0</v>
      </c>
      <c r="I77" s="115">
        <f t="shared" si="114"/>
        <v>0</v>
      </c>
      <c r="J77" s="116">
        <f t="shared" si="115"/>
        <v>7.3062030778990622E-2</v>
      </c>
      <c r="K77" s="97">
        <f t="shared" si="136"/>
        <v>1.217700512983177E-2</v>
      </c>
      <c r="L77" s="9"/>
      <c r="M77" s="9">
        <f>GFA!L78</f>
        <v>8.1180034198878467E-2</v>
      </c>
      <c r="N77" s="9">
        <f>GFA!N78</f>
        <v>0</v>
      </c>
      <c r="O77" s="97">
        <f t="shared" si="116"/>
        <v>7.3062030778990622E-2</v>
      </c>
      <c r="P77" s="9">
        <f t="shared" si="117"/>
        <v>1.217700512983177E-2</v>
      </c>
      <c r="Q77" s="115">
        <f t="shared" si="118"/>
        <v>0.16666666666666666</v>
      </c>
      <c r="R77" s="116">
        <f t="shared" si="119"/>
        <v>6.0885025649158854E-2</v>
      </c>
      <c r="S77" s="97">
        <f t="shared" si="137"/>
        <v>2.435401025966354E-2</v>
      </c>
      <c r="T77" s="9"/>
      <c r="U77" s="9">
        <f>GFA!T78</f>
        <v>8.1180034198878467E-2</v>
      </c>
      <c r="V77" s="9">
        <f>GFA!V78</f>
        <v>0</v>
      </c>
      <c r="W77" s="97">
        <f t="shared" si="120"/>
        <v>7.3062030778990622E-2</v>
      </c>
      <c r="X77" s="9">
        <f t="shared" si="121"/>
        <v>3.6531015389495311E-2</v>
      </c>
      <c r="Y77" s="115">
        <f t="shared" si="122"/>
        <v>0.5</v>
      </c>
      <c r="Z77" s="116">
        <f t="shared" si="123"/>
        <v>3.6531015389495311E-2</v>
      </c>
      <c r="AA77" s="97">
        <f t="shared" si="138"/>
        <v>2.435401025966354E-2</v>
      </c>
      <c r="AB77" s="9"/>
      <c r="AC77" s="9">
        <f>GFA!AB78</f>
        <v>8.1180034198878467E-2</v>
      </c>
      <c r="AD77" s="9">
        <f>GFA!AD78</f>
        <v>0</v>
      </c>
      <c r="AE77" s="97">
        <f t="shared" si="124"/>
        <v>7.3062030778990622E-2</v>
      </c>
      <c r="AF77" s="9">
        <f t="shared" si="125"/>
        <v>6.0885025649158847E-2</v>
      </c>
      <c r="AG77" s="115">
        <f t="shared" si="126"/>
        <v>0.83333333333333326</v>
      </c>
      <c r="AH77" s="116">
        <f t="shared" si="127"/>
        <v>1.2177005129831775E-2</v>
      </c>
      <c r="AI77" s="97">
        <f t="shared" si="139"/>
        <v>1.2177005129831776E-3</v>
      </c>
      <c r="AJ77" s="9"/>
      <c r="AK77" s="9">
        <f>GFA!AJ78</f>
        <v>8.1180034198878467E-2</v>
      </c>
      <c r="AL77" s="9">
        <f>GFA!AL78</f>
        <v>0</v>
      </c>
      <c r="AM77" s="97">
        <f t="shared" si="128"/>
        <v>7.3062030778990622E-2</v>
      </c>
      <c r="AN77" s="9">
        <f t="shared" si="129"/>
        <v>6.2102726162142026E-2</v>
      </c>
      <c r="AO77" s="115">
        <f t="shared" si="130"/>
        <v>0.85</v>
      </c>
      <c r="AP77" s="116">
        <f t="shared" si="131"/>
        <v>1.0959304616848596E-2</v>
      </c>
      <c r="AQ77" s="97">
        <f t="shared" si="140"/>
        <v>1.2177005129831774E-3</v>
      </c>
      <c r="AR77" s="9"/>
      <c r="AS77" s="9">
        <f>GFA!AR78</f>
        <v>8.1180034198878467E-2</v>
      </c>
      <c r="AT77" s="9">
        <f>GFA!AT78</f>
        <v>0</v>
      </c>
      <c r="AU77" s="97">
        <f t="shared" si="132"/>
        <v>7.3062030778990622E-2</v>
      </c>
      <c r="AV77" s="9">
        <f t="shared" si="133"/>
        <v>6.3320426675125205E-2</v>
      </c>
      <c r="AW77" s="115">
        <f t="shared" si="134"/>
        <v>0.8666666666666667</v>
      </c>
      <c r="AX77" s="116">
        <f t="shared" si="135"/>
        <v>9.7416041038654172E-3</v>
      </c>
      <c r="AY77" s="97">
        <f t="shared" si="141"/>
        <v>1.2177005129831771E-3</v>
      </c>
    </row>
    <row r="78" spans="2:51" x14ac:dyDescent="0.35">
      <c r="B78" s="7" t="s">
        <v>148</v>
      </c>
      <c r="C78" s="14">
        <v>0.3</v>
      </c>
      <c r="D78" s="9"/>
      <c r="E78" s="9">
        <f>GFA!D79</f>
        <v>0</v>
      </c>
      <c r="F78" s="9">
        <f>GFA!F79</f>
        <v>0</v>
      </c>
      <c r="G78" s="97">
        <f t="shared" si="113"/>
        <v>0</v>
      </c>
      <c r="H78" s="9">
        <v>0</v>
      </c>
      <c r="I78" s="115">
        <f t="shared" si="114"/>
        <v>0</v>
      </c>
      <c r="J78" s="116">
        <f t="shared" si="115"/>
        <v>0</v>
      </c>
      <c r="K78" s="97">
        <f t="shared" si="136"/>
        <v>0</v>
      </c>
      <c r="L78" s="9"/>
      <c r="M78" s="9">
        <f>GFA!L79</f>
        <v>0</v>
      </c>
      <c r="N78" s="9">
        <f>GFA!N79</f>
        <v>0</v>
      </c>
      <c r="O78" s="97">
        <f t="shared" si="116"/>
        <v>0</v>
      </c>
      <c r="P78" s="9">
        <f t="shared" si="117"/>
        <v>0</v>
      </c>
      <c r="Q78" s="115">
        <f t="shared" si="118"/>
        <v>0</v>
      </c>
      <c r="R78" s="116">
        <f t="shared" si="119"/>
        <v>0</v>
      </c>
      <c r="S78" s="97">
        <f t="shared" si="137"/>
        <v>0</v>
      </c>
      <c r="T78" s="9"/>
      <c r="U78" s="9">
        <f>GFA!T79</f>
        <v>0</v>
      </c>
      <c r="V78" s="9">
        <f>GFA!V79</f>
        <v>0</v>
      </c>
      <c r="W78" s="97">
        <f t="shared" si="120"/>
        <v>0</v>
      </c>
      <c r="X78" s="9">
        <f t="shared" si="121"/>
        <v>0</v>
      </c>
      <c r="Y78" s="115">
        <f t="shared" si="122"/>
        <v>0</v>
      </c>
      <c r="Z78" s="116">
        <f t="shared" si="123"/>
        <v>0</v>
      </c>
      <c r="AA78" s="97">
        <f t="shared" si="138"/>
        <v>0</v>
      </c>
      <c r="AB78" s="9"/>
      <c r="AC78" s="9">
        <f>GFA!AB79</f>
        <v>0</v>
      </c>
      <c r="AD78" s="9">
        <f>GFA!AD79</f>
        <v>0</v>
      </c>
      <c r="AE78" s="97">
        <f t="shared" si="124"/>
        <v>0</v>
      </c>
      <c r="AF78" s="9">
        <f t="shared" si="125"/>
        <v>0</v>
      </c>
      <c r="AG78" s="115">
        <f t="shared" si="126"/>
        <v>0</v>
      </c>
      <c r="AH78" s="116">
        <f t="shared" si="127"/>
        <v>0</v>
      </c>
      <c r="AI78" s="97">
        <f t="shared" si="139"/>
        <v>0</v>
      </c>
      <c r="AJ78" s="9"/>
      <c r="AK78" s="9">
        <f>GFA!AJ79</f>
        <v>0</v>
      </c>
      <c r="AL78" s="9">
        <f>GFA!AL79</f>
        <v>0</v>
      </c>
      <c r="AM78" s="97">
        <f t="shared" si="128"/>
        <v>0</v>
      </c>
      <c r="AN78" s="9">
        <f t="shared" si="129"/>
        <v>0</v>
      </c>
      <c r="AO78" s="115">
        <f t="shared" si="130"/>
        <v>0</v>
      </c>
      <c r="AP78" s="116">
        <f t="shared" si="131"/>
        <v>0</v>
      </c>
      <c r="AQ78" s="97">
        <f t="shared" si="140"/>
        <v>0</v>
      </c>
      <c r="AR78" s="9"/>
      <c r="AS78" s="9">
        <f>GFA!AR79</f>
        <v>0</v>
      </c>
      <c r="AT78" s="9">
        <f>GFA!AT79</f>
        <v>0</v>
      </c>
      <c r="AU78" s="97">
        <f t="shared" si="132"/>
        <v>0</v>
      </c>
      <c r="AV78" s="9">
        <f t="shared" si="133"/>
        <v>0</v>
      </c>
      <c r="AW78" s="115">
        <f t="shared" si="134"/>
        <v>0</v>
      </c>
      <c r="AX78" s="116">
        <f t="shared" si="135"/>
        <v>0</v>
      </c>
      <c r="AY78" s="97">
        <f t="shared" si="141"/>
        <v>0</v>
      </c>
    </row>
    <row r="79" spans="2:51" ht="31" x14ac:dyDescent="0.35">
      <c r="B79" s="84" t="s">
        <v>149</v>
      </c>
      <c r="C79" s="117">
        <v>3.3399999999999999E-2</v>
      </c>
      <c r="D79" s="9"/>
      <c r="E79" s="9">
        <f>GFA!D80</f>
        <v>0</v>
      </c>
      <c r="F79" s="9">
        <f>GFA!F80</f>
        <v>0</v>
      </c>
      <c r="G79" s="97">
        <f t="shared" si="113"/>
        <v>0</v>
      </c>
      <c r="H79" s="9">
        <v>0</v>
      </c>
      <c r="I79" s="115">
        <f t="shared" si="114"/>
        <v>0</v>
      </c>
      <c r="J79" s="116">
        <f t="shared" si="115"/>
        <v>0</v>
      </c>
      <c r="K79" s="97">
        <f t="shared" si="136"/>
        <v>0</v>
      </c>
      <c r="L79" s="9"/>
      <c r="M79" s="9">
        <f>GFA!L80</f>
        <v>0</v>
      </c>
      <c r="N79" s="9">
        <f>GFA!N80</f>
        <v>0</v>
      </c>
      <c r="O79" s="97">
        <f t="shared" si="116"/>
        <v>0</v>
      </c>
      <c r="P79" s="9">
        <f t="shared" si="117"/>
        <v>0</v>
      </c>
      <c r="Q79" s="115">
        <f t="shared" si="118"/>
        <v>0</v>
      </c>
      <c r="R79" s="116">
        <f t="shared" si="119"/>
        <v>0</v>
      </c>
      <c r="S79" s="97">
        <f t="shared" si="137"/>
        <v>0</v>
      </c>
      <c r="T79" s="9"/>
      <c r="U79" s="9">
        <f>GFA!T80</f>
        <v>0</v>
      </c>
      <c r="V79" s="9">
        <f>GFA!V80</f>
        <v>0</v>
      </c>
      <c r="W79" s="97">
        <f t="shared" si="120"/>
        <v>0</v>
      </c>
      <c r="X79" s="9">
        <f t="shared" si="121"/>
        <v>0</v>
      </c>
      <c r="Y79" s="115">
        <f t="shared" si="122"/>
        <v>0</v>
      </c>
      <c r="Z79" s="116">
        <f t="shared" si="123"/>
        <v>0</v>
      </c>
      <c r="AA79" s="97">
        <f t="shared" si="138"/>
        <v>0</v>
      </c>
      <c r="AB79" s="9"/>
      <c r="AC79" s="9">
        <f>GFA!AB80</f>
        <v>0</v>
      </c>
      <c r="AD79" s="9">
        <f>GFA!AD80</f>
        <v>0</v>
      </c>
      <c r="AE79" s="97">
        <f t="shared" si="124"/>
        <v>0</v>
      </c>
      <c r="AF79" s="9">
        <f t="shared" si="125"/>
        <v>0</v>
      </c>
      <c r="AG79" s="115">
        <f t="shared" si="126"/>
        <v>0</v>
      </c>
      <c r="AH79" s="116">
        <f t="shared" si="127"/>
        <v>0</v>
      </c>
      <c r="AI79" s="97">
        <f t="shared" si="139"/>
        <v>0</v>
      </c>
      <c r="AJ79" s="9"/>
      <c r="AK79" s="9">
        <f>GFA!AJ80</f>
        <v>0</v>
      </c>
      <c r="AL79" s="9">
        <f>GFA!AL80</f>
        <v>0</v>
      </c>
      <c r="AM79" s="97">
        <f t="shared" si="128"/>
        <v>0</v>
      </c>
      <c r="AN79" s="9">
        <f t="shared" si="129"/>
        <v>0</v>
      </c>
      <c r="AO79" s="115">
        <f t="shared" si="130"/>
        <v>0</v>
      </c>
      <c r="AP79" s="116">
        <f t="shared" si="131"/>
        <v>0</v>
      </c>
      <c r="AQ79" s="97">
        <f t="shared" si="140"/>
        <v>0</v>
      </c>
      <c r="AR79" s="9"/>
      <c r="AS79" s="9">
        <f>GFA!AR80</f>
        <v>0</v>
      </c>
      <c r="AT79" s="9">
        <f>GFA!AT80</f>
        <v>0</v>
      </c>
      <c r="AU79" s="97">
        <f t="shared" si="132"/>
        <v>0</v>
      </c>
      <c r="AV79" s="9">
        <f t="shared" si="133"/>
        <v>0</v>
      </c>
      <c r="AW79" s="115">
        <f t="shared" si="134"/>
        <v>0</v>
      </c>
      <c r="AX79" s="116">
        <f t="shared" si="135"/>
        <v>0</v>
      </c>
      <c r="AY79" s="97">
        <f t="shared" si="141"/>
        <v>0</v>
      </c>
    </row>
    <row r="80" spans="2:51" s="3" customFormat="1" ht="15" x14ac:dyDescent="0.35">
      <c r="B80" s="12" t="s">
        <v>27</v>
      </c>
      <c r="C80" s="12"/>
      <c r="D80" s="13"/>
      <c r="E80" s="13">
        <f t="shared" ref="E80" si="142">SUM(E63:E79)</f>
        <v>1251.5502171753139</v>
      </c>
      <c r="F80" s="13">
        <f t="shared" ref="F80:H80" si="143">SUM(F63:F79)</f>
        <v>40.620000000000012</v>
      </c>
      <c r="G80" s="13">
        <f t="shared" si="143"/>
        <v>1162.9531954577826</v>
      </c>
      <c r="H80" s="13">
        <f t="shared" si="143"/>
        <v>741.0676930821212</v>
      </c>
      <c r="I80" s="13"/>
      <c r="J80" s="13">
        <f t="shared" ref="J80:K80" si="144">SUM(J63:J79)</f>
        <v>422.83006895381578</v>
      </c>
      <c r="K80" s="13">
        <f t="shared" si="144"/>
        <v>63.488516397712118</v>
      </c>
      <c r="L80" s="13"/>
      <c r="M80" s="13">
        <f t="shared" ref="M80:P80" si="145">SUM(M63:M79)</f>
        <v>1292.1702171753141</v>
      </c>
      <c r="N80" s="13">
        <f t="shared" si="145"/>
        <v>107.831347209</v>
      </c>
      <c r="O80" s="13">
        <f t="shared" si="145"/>
        <v>1260.0014079458826</v>
      </c>
      <c r="P80" s="13">
        <f t="shared" si="145"/>
        <v>804.55620947983311</v>
      </c>
      <c r="Q80" s="13"/>
      <c r="R80" s="13">
        <f t="shared" ref="R80:S80" si="146">SUM(R63:R79)</f>
        <v>456.37337580336862</v>
      </c>
      <c r="S80" s="13">
        <f t="shared" si="146"/>
        <v>65.996532459138621</v>
      </c>
      <c r="T80" s="13"/>
      <c r="U80" s="13">
        <f t="shared" ref="U80:X80" si="147">SUM(U63:U79)</f>
        <v>1399.6970383583141</v>
      </c>
      <c r="V80" s="13">
        <f t="shared" si="147"/>
        <v>8.67</v>
      </c>
      <c r="W80" s="13">
        <f t="shared" si="147"/>
        <v>1267.5303345224825</v>
      </c>
      <c r="X80" s="13">
        <f t="shared" si="147"/>
        <v>870.55274193897185</v>
      </c>
      <c r="Y80" s="13"/>
      <c r="Z80" s="13">
        <f t="shared" ref="Z80:AA80" si="148">SUM(Z63:Z79)</f>
        <v>397.90576992082998</v>
      </c>
      <c r="AA80" s="13">
        <f t="shared" si="148"/>
        <v>33.620552619293505</v>
      </c>
      <c r="AB80" s="13"/>
      <c r="AC80" s="13">
        <f t="shared" ref="AC80:AF80" si="149">SUM(AC63:AC79)</f>
        <v>1280.336355248314</v>
      </c>
      <c r="AD80" s="13">
        <f t="shared" si="149"/>
        <v>48.269099999999995</v>
      </c>
      <c r="AE80" s="13">
        <f t="shared" si="149"/>
        <v>1195.7449097234824</v>
      </c>
      <c r="AF80" s="13">
        <f t="shared" si="149"/>
        <v>904.17329455826541</v>
      </c>
      <c r="AG80" s="13"/>
      <c r="AH80" s="13">
        <f t="shared" ref="AH80:AI80" si="150">SUM(AH63:AH79)</f>
        <v>293.96999307124099</v>
      </c>
      <c r="AI80" s="13">
        <f t="shared" si="150"/>
        <v>27.104897160318728</v>
      </c>
      <c r="AJ80" s="13"/>
      <c r="AK80" s="13">
        <f t="shared" ref="AK80:AN80" si="151">SUM(AK63:AK79)</f>
        <v>1328.605455248314</v>
      </c>
      <c r="AL80" s="13">
        <f t="shared" si="151"/>
        <v>88.809999999999988</v>
      </c>
      <c r="AM80" s="13">
        <f t="shared" si="151"/>
        <v>1275.6739097234824</v>
      </c>
      <c r="AN80" s="13">
        <f t="shared" si="151"/>
        <v>931.27819171858414</v>
      </c>
      <c r="AO80" s="13"/>
      <c r="AP80" s="13">
        <f t="shared" ref="AP80:AQ80" si="152">SUM(AP63:AP79)</f>
        <v>346.77746583311495</v>
      </c>
      <c r="AQ80" s="13">
        <f t="shared" si="152"/>
        <v>35.762362294689844</v>
      </c>
      <c r="AR80" s="13"/>
      <c r="AS80" s="13">
        <f t="shared" ref="AS80:AV80" si="153">SUM(AS63:AS79)</f>
        <v>1417.4154552483139</v>
      </c>
      <c r="AT80" s="13">
        <f t="shared" si="153"/>
        <v>0</v>
      </c>
      <c r="AU80" s="13">
        <f t="shared" si="153"/>
        <v>1275.6739097234824</v>
      </c>
      <c r="AV80" s="13">
        <f t="shared" si="153"/>
        <v>967.040554013274</v>
      </c>
      <c r="AW80" s="13"/>
      <c r="AX80" s="13">
        <f t="shared" ref="AX80:AY80" si="154">SUM(AX63:AX79)</f>
        <v>310.99847346061784</v>
      </c>
      <c r="AY80" s="13">
        <f t="shared" si="154"/>
        <v>35.762362294689844</v>
      </c>
    </row>
    <row r="81" spans="2:51" x14ac:dyDescent="0.35">
      <c r="B81" s="70" t="s">
        <v>152</v>
      </c>
      <c r="C81" s="70"/>
      <c r="D81" s="118">
        <v>1.06</v>
      </c>
      <c r="E81" s="9"/>
      <c r="F81" s="9"/>
      <c r="G81" s="97"/>
      <c r="H81" s="7"/>
      <c r="I81" s="7"/>
      <c r="J81" s="7"/>
      <c r="K81" s="7"/>
      <c r="L81" s="118">
        <f>D81-1+5</f>
        <v>5.0600000000000005</v>
      </c>
      <c r="M81" s="7"/>
      <c r="N81" s="7"/>
      <c r="O81" s="7"/>
      <c r="P81" s="7"/>
      <c r="Q81" s="7"/>
      <c r="R81" s="7"/>
      <c r="S81" s="7"/>
      <c r="T81" s="118">
        <f>L81-1</f>
        <v>4.0600000000000005</v>
      </c>
      <c r="U81" s="7"/>
      <c r="V81" s="7"/>
      <c r="W81" s="7"/>
      <c r="X81" s="7"/>
      <c r="Y81" s="7"/>
      <c r="Z81" s="7"/>
      <c r="AA81" s="7"/>
      <c r="AB81" s="118">
        <f>T81-1</f>
        <v>3.0600000000000005</v>
      </c>
      <c r="AC81" s="7"/>
      <c r="AD81" s="7"/>
      <c r="AE81" s="7"/>
      <c r="AF81" s="7"/>
      <c r="AG81" s="7"/>
      <c r="AH81" s="7"/>
      <c r="AI81" s="7"/>
      <c r="AJ81" s="118">
        <f>AB81-1</f>
        <v>2.0600000000000005</v>
      </c>
      <c r="AK81" s="7"/>
      <c r="AL81" s="7"/>
      <c r="AM81" s="7"/>
      <c r="AN81" s="7"/>
      <c r="AO81" s="7"/>
      <c r="AP81" s="7"/>
      <c r="AQ81" s="7"/>
      <c r="AR81" s="118">
        <f>AJ81-1</f>
        <v>1.0600000000000005</v>
      </c>
      <c r="AS81" s="9"/>
      <c r="AT81" s="9"/>
      <c r="AU81" s="9"/>
      <c r="AV81" s="9"/>
      <c r="AW81" s="9"/>
      <c r="AX81" s="9"/>
      <c r="AY81" s="9"/>
    </row>
    <row r="82" spans="2:51" x14ac:dyDescent="0.35">
      <c r="B82" s="7" t="s">
        <v>133</v>
      </c>
      <c r="C82" s="14">
        <v>0</v>
      </c>
      <c r="D82" s="9"/>
      <c r="E82" s="9">
        <f>GFA!D83</f>
        <v>1.7293491000000001</v>
      </c>
      <c r="F82" s="9">
        <f>GFA!F83</f>
        <v>0</v>
      </c>
      <c r="G82" s="97">
        <f t="shared" si="113"/>
        <v>1.5564141900000001</v>
      </c>
      <c r="H82" s="9">
        <v>0</v>
      </c>
      <c r="I82" s="115">
        <f t="shared" ref="I82:I117" si="155">IFERROR(H82/G82,0)</f>
        <v>0</v>
      </c>
      <c r="J82" s="116">
        <f t="shared" ref="J82:J117" si="156">MAX(G82-H82,0)</f>
        <v>1.5564141900000001</v>
      </c>
      <c r="K82" s="97">
        <f>IF(I82&lt;70%,MIN(J82,(E82+F82/2)*$C82),J82/D$81)</f>
        <v>0</v>
      </c>
      <c r="L82" s="9"/>
      <c r="M82" s="9">
        <f>GFA!L83</f>
        <v>1.7293491000000001</v>
      </c>
      <c r="N82" s="9">
        <f>GFA!N83</f>
        <v>0</v>
      </c>
      <c r="O82" s="97">
        <f t="shared" ref="O82:O98" si="157">90%*(M82+N82)</f>
        <v>1.5564141900000001</v>
      </c>
      <c r="P82" s="9">
        <f t="shared" ref="P82:P98" si="158">H82+K82</f>
        <v>0</v>
      </c>
      <c r="Q82" s="115">
        <f t="shared" ref="Q82:Q98" si="159">IFERROR(P82/O82,0)</f>
        <v>0</v>
      </c>
      <c r="R82" s="116">
        <f t="shared" ref="R82:R98" si="160">MAX(O82-P82,0)</f>
        <v>1.5564141900000001</v>
      </c>
      <c r="S82" s="97">
        <f>IF(Q82&lt;70%,MIN(R82,(M82+N82/2)*$C82),R82/L$81)</f>
        <v>0</v>
      </c>
      <c r="T82" s="9"/>
      <c r="U82" s="9">
        <f>GFA!T83</f>
        <v>1.7293491000000001</v>
      </c>
      <c r="V82" s="9">
        <f>GFA!V83</f>
        <v>0</v>
      </c>
      <c r="W82" s="97">
        <f t="shared" ref="W82:W98" si="161">90%*(U82+V82)</f>
        <v>1.5564141900000001</v>
      </c>
      <c r="X82" s="9">
        <f t="shared" ref="X82:X98" si="162">P82+S82</f>
        <v>0</v>
      </c>
      <c r="Y82" s="115">
        <f t="shared" ref="Y82:Y98" si="163">IFERROR(X82/W82,0)</f>
        <v>0</v>
      </c>
      <c r="Z82" s="116">
        <f t="shared" ref="Z82:Z98" si="164">MAX(W82-X82,0)</f>
        <v>1.5564141900000001</v>
      </c>
      <c r="AA82" s="97">
        <f>IF(Y82&lt;70%,MIN(Z82,(U82+V82/2)*$C82),Z82/T$81)</f>
        <v>0</v>
      </c>
      <c r="AB82" s="9"/>
      <c r="AC82" s="9">
        <f>GFA!AB83</f>
        <v>1.7293491000000001</v>
      </c>
      <c r="AD82" s="9">
        <f>GFA!AD83</f>
        <v>0</v>
      </c>
      <c r="AE82" s="97">
        <f t="shared" ref="AE82:AE98" si="165">90%*(AC82+AD82)</f>
        <v>1.5564141900000001</v>
      </c>
      <c r="AF82" s="9">
        <f t="shared" ref="AF82:AF98" si="166">X82+AA82</f>
        <v>0</v>
      </c>
      <c r="AG82" s="115">
        <f t="shared" ref="AG82:AG98" si="167">IFERROR(AF82/AE82,0)</f>
        <v>0</v>
      </c>
      <c r="AH82" s="116">
        <f t="shared" ref="AH82:AH98" si="168">MAX(AE82-AF82,0)</f>
        <v>1.5564141900000001</v>
      </c>
      <c r="AI82" s="97">
        <f>IF(AG82&lt;70%,MIN(AH82,(AC82+AD82/2)*$C82),AH82/AB$81)</f>
        <v>0</v>
      </c>
      <c r="AJ82" s="9"/>
      <c r="AK82" s="9">
        <f>GFA!AJ83</f>
        <v>1.7293491000000001</v>
      </c>
      <c r="AL82" s="9">
        <f>GFA!AL83</f>
        <v>0</v>
      </c>
      <c r="AM82" s="97">
        <f t="shared" ref="AM82:AM98" si="169">90%*(AK82+AL82)</f>
        <v>1.5564141900000001</v>
      </c>
      <c r="AN82" s="9">
        <f t="shared" ref="AN82:AN98" si="170">AF82+AI82</f>
        <v>0</v>
      </c>
      <c r="AO82" s="115">
        <f t="shared" ref="AO82:AO98" si="171">IFERROR(AN82/AM82,0)</f>
        <v>0</v>
      </c>
      <c r="AP82" s="116">
        <f t="shared" ref="AP82:AP98" si="172">MAX(AM82-AN82,0)</f>
        <v>1.5564141900000001</v>
      </c>
      <c r="AQ82" s="97">
        <f>IF(AO82&lt;70%,MIN(AP82,(AK82+AL82/2)*$C82),AP82/AJ$81)</f>
        <v>0</v>
      </c>
      <c r="AR82" s="9"/>
      <c r="AS82" s="9">
        <f>GFA!AR83</f>
        <v>1.7293491000000001</v>
      </c>
      <c r="AT82" s="9">
        <f>GFA!AT83</f>
        <v>0</v>
      </c>
      <c r="AU82" s="97">
        <f t="shared" ref="AU82:AU98" si="173">90%*(AS82+AT82)</f>
        <v>1.5564141900000001</v>
      </c>
      <c r="AV82" s="9">
        <f t="shared" ref="AV82:AV98" si="174">AN82+AQ82</f>
        <v>0</v>
      </c>
      <c r="AW82" s="115">
        <f t="shared" ref="AW82:AW98" si="175">IFERROR(AV82/AU82,0)</f>
        <v>0</v>
      </c>
      <c r="AX82" s="116">
        <f t="shared" ref="AX82:AX98" si="176">MAX(AU82-AV82,0)</f>
        <v>1.5564141900000001</v>
      </c>
      <c r="AY82" s="97">
        <f>IF(AW82&lt;70%,MIN(AX82,(AS82+AT82/2)*$C82),AX82/AR$81)</f>
        <v>0</v>
      </c>
    </row>
    <row r="83" spans="2:51" x14ac:dyDescent="0.35">
      <c r="B83" s="7" t="s">
        <v>134</v>
      </c>
      <c r="C83" s="14">
        <v>3.3399999999999999E-2</v>
      </c>
      <c r="D83" s="9"/>
      <c r="E83" s="9">
        <f>GFA!D84</f>
        <v>29.81634727082049</v>
      </c>
      <c r="F83" s="9">
        <f>GFA!F84</f>
        <v>1.1490030919312046</v>
      </c>
      <c r="G83" s="97">
        <f t="shared" si="113"/>
        <v>27.868815326476525</v>
      </c>
      <c r="H83" s="9">
        <v>17.397393317474727</v>
      </c>
      <c r="I83" s="115">
        <f t="shared" si="155"/>
        <v>0.62426023904024674</v>
      </c>
      <c r="J83" s="116">
        <f t="shared" si="156"/>
        <v>10.471422009001799</v>
      </c>
      <c r="K83" s="97">
        <f t="shared" ref="K83:K98" si="177">IF(I83&lt;70%,MIN(J83,(E83+F83/2)*$C83),J83/D$81)</f>
        <v>1.0150543504806555</v>
      </c>
      <c r="L83" s="9"/>
      <c r="M83" s="9">
        <f>GFA!L84</f>
        <v>30.907720762751698</v>
      </c>
      <c r="N83" s="9">
        <f>GFA!N84</f>
        <v>0.23406424647438986</v>
      </c>
      <c r="O83" s="97">
        <f t="shared" si="157"/>
        <v>28.027606508303478</v>
      </c>
      <c r="P83" s="9">
        <f t="shared" si="158"/>
        <v>18.412447667955384</v>
      </c>
      <c r="Q83" s="115">
        <f t="shared" si="159"/>
        <v>0.65693970915784405</v>
      </c>
      <c r="R83" s="116">
        <f t="shared" si="160"/>
        <v>9.6151588403480943</v>
      </c>
      <c r="S83" s="97">
        <f t="shared" ref="S83:S98" si="178">IF(Q83&lt;70%,MIN(R83,(M83+N83/2)*$C83),R83/L$81)</f>
        <v>1.0362267463920289</v>
      </c>
      <c r="T83" s="9"/>
      <c r="U83" s="9">
        <f>GFA!T84</f>
        <v>31.141785009226087</v>
      </c>
      <c r="V83" s="9">
        <f>GFA!V84</f>
        <v>0.84850887653489304</v>
      </c>
      <c r="W83" s="97">
        <f t="shared" si="161"/>
        <v>28.791264497184883</v>
      </c>
      <c r="X83" s="9">
        <f t="shared" si="162"/>
        <v>19.448674414347412</v>
      </c>
      <c r="Y83" s="115">
        <f t="shared" si="163"/>
        <v>0.67550608679410518</v>
      </c>
      <c r="Z83" s="116">
        <f t="shared" si="164"/>
        <v>9.3425900828374715</v>
      </c>
      <c r="AA83" s="97">
        <f t="shared" ref="AA83:AA98" si="179">IF(Y83&lt;70%,MIN(Z83,(U83+V83/2)*$C83),Z83/T$81)</f>
        <v>1.054305717546284</v>
      </c>
      <c r="AB83" s="9"/>
      <c r="AC83" s="9">
        <f>GFA!AB84</f>
        <v>31.99029388576098</v>
      </c>
      <c r="AD83" s="9">
        <f>GFA!AD84</f>
        <v>0</v>
      </c>
      <c r="AE83" s="97">
        <f t="shared" si="165"/>
        <v>28.791264497184883</v>
      </c>
      <c r="AF83" s="9">
        <f t="shared" si="166"/>
        <v>20.502980131893697</v>
      </c>
      <c r="AG83" s="115">
        <f t="shared" si="167"/>
        <v>0.71212503132324778</v>
      </c>
      <c r="AH83" s="116">
        <f t="shared" si="168"/>
        <v>8.2882843652911866</v>
      </c>
      <c r="AI83" s="97">
        <f t="shared" ref="AI83:AI98" si="180">IF(AG83&lt;70%,MIN(AH83,(AC83+AD83/2)*$C83),AH83/AB$81)</f>
        <v>2.7085896618598646</v>
      </c>
      <c r="AJ83" s="9"/>
      <c r="AK83" s="9">
        <f>GFA!AJ84</f>
        <v>31.99029388576098</v>
      </c>
      <c r="AL83" s="9">
        <f>GFA!AL84</f>
        <v>0</v>
      </c>
      <c r="AM83" s="97">
        <f t="shared" si="169"/>
        <v>28.791264497184883</v>
      </c>
      <c r="AN83" s="9">
        <f t="shared" si="170"/>
        <v>23.211569793753561</v>
      </c>
      <c r="AO83" s="115">
        <f t="shared" si="171"/>
        <v>0.80620181847251315</v>
      </c>
      <c r="AP83" s="116">
        <f t="shared" si="172"/>
        <v>5.579694703431322</v>
      </c>
      <c r="AQ83" s="97">
        <f t="shared" ref="AQ83:AQ98" si="181">IF(AO83&lt;70%,MIN(AP83,(AK83+AL83/2)*$C83),AP83/AJ$81)</f>
        <v>2.7085896618598646</v>
      </c>
      <c r="AR83" s="9"/>
      <c r="AS83" s="9">
        <f>GFA!AR84</f>
        <v>31.99029388576098</v>
      </c>
      <c r="AT83" s="9">
        <f>GFA!AT84</f>
        <v>0</v>
      </c>
      <c r="AU83" s="97">
        <f t="shared" si="173"/>
        <v>28.791264497184883</v>
      </c>
      <c r="AV83" s="9">
        <f t="shared" si="174"/>
        <v>25.920159455613426</v>
      </c>
      <c r="AW83" s="115">
        <f t="shared" si="175"/>
        <v>0.90027860562177864</v>
      </c>
      <c r="AX83" s="116">
        <f t="shared" si="176"/>
        <v>2.8711050415714574</v>
      </c>
      <c r="AY83" s="97">
        <f t="shared" ref="AY83:AY98" si="182">IF(AW83&lt;70%,MIN(AX83,(AS83+AT83/2)*$C83),AX83/AR$81)</f>
        <v>2.7085896618598642</v>
      </c>
    </row>
    <row r="84" spans="2:51" ht="31" x14ac:dyDescent="0.35">
      <c r="B84" s="84" t="s">
        <v>135</v>
      </c>
      <c r="C84" s="117">
        <v>5.28E-2</v>
      </c>
      <c r="D84" s="9"/>
      <c r="E84" s="9">
        <f>GFA!D85</f>
        <v>0</v>
      </c>
      <c r="F84" s="9">
        <f>GFA!F85</f>
        <v>0</v>
      </c>
      <c r="G84" s="97">
        <f t="shared" si="113"/>
        <v>0</v>
      </c>
      <c r="H84" s="9">
        <v>0</v>
      </c>
      <c r="I84" s="115">
        <f t="shared" si="155"/>
        <v>0</v>
      </c>
      <c r="J84" s="116">
        <f t="shared" si="156"/>
        <v>0</v>
      </c>
      <c r="K84" s="97">
        <f t="shared" si="177"/>
        <v>0</v>
      </c>
      <c r="L84" s="9"/>
      <c r="M84" s="9">
        <f>GFA!L85</f>
        <v>0</v>
      </c>
      <c r="N84" s="9">
        <f>GFA!N85</f>
        <v>0</v>
      </c>
      <c r="O84" s="97">
        <f t="shared" si="157"/>
        <v>0</v>
      </c>
      <c r="P84" s="9">
        <f t="shared" si="158"/>
        <v>0</v>
      </c>
      <c r="Q84" s="115">
        <f t="shared" si="159"/>
        <v>0</v>
      </c>
      <c r="R84" s="116">
        <f t="shared" si="160"/>
        <v>0</v>
      </c>
      <c r="S84" s="97">
        <f t="shared" si="178"/>
        <v>0</v>
      </c>
      <c r="T84" s="9"/>
      <c r="U84" s="9">
        <f>GFA!T85</f>
        <v>0</v>
      </c>
      <c r="V84" s="9">
        <f>GFA!V85</f>
        <v>0</v>
      </c>
      <c r="W84" s="97">
        <f t="shared" si="161"/>
        <v>0</v>
      </c>
      <c r="X84" s="9">
        <f t="shared" si="162"/>
        <v>0</v>
      </c>
      <c r="Y84" s="115">
        <f t="shared" si="163"/>
        <v>0</v>
      </c>
      <c r="Z84" s="116">
        <f t="shared" si="164"/>
        <v>0</v>
      </c>
      <c r="AA84" s="97">
        <f t="shared" si="179"/>
        <v>0</v>
      </c>
      <c r="AB84" s="9"/>
      <c r="AC84" s="9">
        <f>GFA!AB85</f>
        <v>0</v>
      </c>
      <c r="AD84" s="9">
        <f>GFA!AD85</f>
        <v>0</v>
      </c>
      <c r="AE84" s="97">
        <f t="shared" si="165"/>
        <v>0</v>
      </c>
      <c r="AF84" s="9">
        <f t="shared" si="166"/>
        <v>0</v>
      </c>
      <c r="AG84" s="115">
        <f t="shared" si="167"/>
        <v>0</v>
      </c>
      <c r="AH84" s="116">
        <f t="shared" si="168"/>
        <v>0</v>
      </c>
      <c r="AI84" s="97">
        <f t="shared" si="180"/>
        <v>0</v>
      </c>
      <c r="AJ84" s="9"/>
      <c r="AK84" s="9">
        <f>GFA!AJ85</f>
        <v>0</v>
      </c>
      <c r="AL84" s="9">
        <f>GFA!AL85</f>
        <v>0</v>
      </c>
      <c r="AM84" s="97">
        <f t="shared" si="169"/>
        <v>0</v>
      </c>
      <c r="AN84" s="9">
        <f t="shared" si="170"/>
        <v>0</v>
      </c>
      <c r="AO84" s="115">
        <f t="shared" si="171"/>
        <v>0</v>
      </c>
      <c r="AP84" s="116">
        <f t="shared" si="172"/>
        <v>0</v>
      </c>
      <c r="AQ84" s="97">
        <f t="shared" si="181"/>
        <v>0</v>
      </c>
      <c r="AR84" s="9"/>
      <c r="AS84" s="9">
        <f>GFA!AR85</f>
        <v>0</v>
      </c>
      <c r="AT84" s="9">
        <f>GFA!AT85</f>
        <v>0</v>
      </c>
      <c r="AU84" s="97">
        <f t="shared" si="173"/>
        <v>0</v>
      </c>
      <c r="AV84" s="9">
        <f t="shared" si="174"/>
        <v>0</v>
      </c>
      <c r="AW84" s="115">
        <f t="shared" si="175"/>
        <v>0</v>
      </c>
      <c r="AX84" s="116">
        <f t="shared" si="176"/>
        <v>0</v>
      </c>
      <c r="AY84" s="97">
        <f t="shared" si="182"/>
        <v>0</v>
      </c>
    </row>
    <row r="85" spans="2:51" x14ac:dyDescent="0.35">
      <c r="B85" s="7" t="s">
        <v>136</v>
      </c>
      <c r="C85" s="14">
        <v>5.28E-2</v>
      </c>
      <c r="D85" s="9"/>
      <c r="E85" s="9">
        <f>GFA!D86</f>
        <v>53.463989677021338</v>
      </c>
      <c r="F85" s="9">
        <f>GFA!F86</f>
        <v>0</v>
      </c>
      <c r="G85" s="97">
        <f t="shared" si="113"/>
        <v>48.117590709319202</v>
      </c>
      <c r="H85" s="9">
        <v>46.207563737988501</v>
      </c>
      <c r="I85" s="115">
        <f t="shared" si="155"/>
        <v>0.96030501645709421</v>
      </c>
      <c r="J85" s="116">
        <f t="shared" si="156"/>
        <v>1.9100269713307014</v>
      </c>
      <c r="K85" s="97">
        <f t="shared" si="177"/>
        <v>1.8019122371044352</v>
      </c>
      <c r="L85" s="9"/>
      <c r="M85" s="9">
        <f>GFA!L86</f>
        <v>53.246048377021339</v>
      </c>
      <c r="N85" s="9">
        <f>GFA!N86</f>
        <v>0</v>
      </c>
      <c r="O85" s="97">
        <f t="shared" si="157"/>
        <v>47.921443539319206</v>
      </c>
      <c r="P85" s="9">
        <f t="shared" si="158"/>
        <v>48.009475975092933</v>
      </c>
      <c r="Q85" s="115">
        <f t="shared" si="159"/>
        <v>1.0018370155252418</v>
      </c>
      <c r="R85" s="116">
        <f t="shared" si="160"/>
        <v>0</v>
      </c>
      <c r="S85" s="97">
        <f t="shared" si="178"/>
        <v>0</v>
      </c>
      <c r="T85" s="9"/>
      <c r="U85" s="9">
        <f>GFA!T86</f>
        <v>53.246048377021339</v>
      </c>
      <c r="V85" s="9">
        <f>GFA!V86</f>
        <v>0</v>
      </c>
      <c r="W85" s="97">
        <f t="shared" si="161"/>
        <v>47.921443539319206</v>
      </c>
      <c r="X85" s="9">
        <f t="shared" si="162"/>
        <v>48.009475975092933</v>
      </c>
      <c r="Y85" s="115">
        <f t="shared" si="163"/>
        <v>1.0018370155252418</v>
      </c>
      <c r="Z85" s="116">
        <f t="shared" si="164"/>
        <v>0</v>
      </c>
      <c r="AA85" s="97">
        <f t="shared" si="179"/>
        <v>0</v>
      </c>
      <c r="AB85" s="9"/>
      <c r="AC85" s="9">
        <f>GFA!AB86</f>
        <v>53.246048377021339</v>
      </c>
      <c r="AD85" s="9">
        <f>GFA!AD86</f>
        <v>0</v>
      </c>
      <c r="AE85" s="97">
        <f t="shared" si="165"/>
        <v>47.921443539319206</v>
      </c>
      <c r="AF85" s="9">
        <f t="shared" si="166"/>
        <v>48.009475975092933</v>
      </c>
      <c r="AG85" s="115">
        <f t="shared" si="167"/>
        <v>1.0018370155252418</v>
      </c>
      <c r="AH85" s="116">
        <f t="shared" si="168"/>
        <v>0</v>
      </c>
      <c r="AI85" s="97">
        <f t="shared" si="180"/>
        <v>0</v>
      </c>
      <c r="AJ85" s="9"/>
      <c r="AK85" s="9">
        <f>GFA!AJ86</f>
        <v>53.246048377021339</v>
      </c>
      <c r="AL85" s="9">
        <f>GFA!AL86</f>
        <v>0</v>
      </c>
      <c r="AM85" s="97">
        <f t="shared" si="169"/>
        <v>47.921443539319206</v>
      </c>
      <c r="AN85" s="9">
        <f t="shared" si="170"/>
        <v>48.009475975092933</v>
      </c>
      <c r="AO85" s="115">
        <f t="shared" si="171"/>
        <v>1.0018370155252418</v>
      </c>
      <c r="AP85" s="116">
        <f t="shared" si="172"/>
        <v>0</v>
      </c>
      <c r="AQ85" s="97">
        <f t="shared" si="181"/>
        <v>0</v>
      </c>
      <c r="AR85" s="9"/>
      <c r="AS85" s="9">
        <f>GFA!AR86</f>
        <v>53.246048377021339</v>
      </c>
      <c r="AT85" s="9">
        <f>GFA!AT86</f>
        <v>0</v>
      </c>
      <c r="AU85" s="97">
        <f t="shared" si="173"/>
        <v>47.921443539319206</v>
      </c>
      <c r="AV85" s="9">
        <f t="shared" si="174"/>
        <v>48.009475975092933</v>
      </c>
      <c r="AW85" s="115">
        <f t="shared" si="175"/>
        <v>1.0018370155252418</v>
      </c>
      <c r="AX85" s="116">
        <f t="shared" si="176"/>
        <v>0</v>
      </c>
      <c r="AY85" s="97">
        <f t="shared" si="182"/>
        <v>0</v>
      </c>
    </row>
    <row r="86" spans="2:51" x14ac:dyDescent="0.35">
      <c r="B86" s="7" t="s">
        <v>137</v>
      </c>
      <c r="C86" s="14">
        <v>3.3399999999999999E-2</v>
      </c>
      <c r="D86" s="9"/>
      <c r="E86" s="9">
        <f>GFA!D87</f>
        <v>159.70097374442784</v>
      </c>
      <c r="F86" s="9">
        <f>GFA!F87</f>
        <v>15.134911499785492</v>
      </c>
      <c r="G86" s="97">
        <f t="shared" si="113"/>
        <v>157.35229671979201</v>
      </c>
      <c r="H86" s="9">
        <v>100.50412211423968</v>
      </c>
      <c r="I86" s="115">
        <f t="shared" si="155"/>
        <v>0.63872040135018959</v>
      </c>
      <c r="J86" s="116">
        <f t="shared" si="156"/>
        <v>56.84817460555233</v>
      </c>
      <c r="K86" s="97">
        <f t="shared" si="177"/>
        <v>5.5867655451103078</v>
      </c>
      <c r="L86" s="9"/>
      <c r="M86" s="9">
        <f>GFA!L87</f>
        <v>174.83588524421333</v>
      </c>
      <c r="N86" s="9">
        <f>GFA!N87</f>
        <v>1.227771963686288</v>
      </c>
      <c r="O86" s="97">
        <f t="shared" si="157"/>
        <v>158.45729148710964</v>
      </c>
      <c r="P86" s="9">
        <f t="shared" si="158"/>
        <v>106.09088765934999</v>
      </c>
      <c r="Q86" s="115">
        <f t="shared" si="159"/>
        <v>0.66952354583178264</v>
      </c>
      <c r="R86" s="116">
        <f t="shared" si="160"/>
        <v>52.366403827759655</v>
      </c>
      <c r="S86" s="97">
        <f t="shared" si="178"/>
        <v>5.8600223589502862</v>
      </c>
      <c r="T86" s="9"/>
      <c r="U86" s="9">
        <f>GFA!T87</f>
        <v>176.06365720789961</v>
      </c>
      <c r="V86" s="9">
        <f>GFA!V87</f>
        <v>3.5193345796289082</v>
      </c>
      <c r="W86" s="97">
        <f t="shared" si="161"/>
        <v>161.62469260877569</v>
      </c>
      <c r="X86" s="9">
        <f t="shared" si="162"/>
        <v>111.95091001830028</v>
      </c>
      <c r="Y86" s="115">
        <f t="shared" si="163"/>
        <v>0.69265969333835387</v>
      </c>
      <c r="Z86" s="116">
        <f t="shared" si="164"/>
        <v>49.673782590475412</v>
      </c>
      <c r="AA86" s="97">
        <f t="shared" si="179"/>
        <v>5.9392990382236492</v>
      </c>
      <c r="AB86" s="9"/>
      <c r="AC86" s="9">
        <f>GFA!AB87</f>
        <v>179.58299178752853</v>
      </c>
      <c r="AD86" s="9">
        <f>GFA!AD87</f>
        <v>0</v>
      </c>
      <c r="AE86" s="97">
        <f t="shared" si="165"/>
        <v>161.62469260877569</v>
      </c>
      <c r="AF86" s="9">
        <f t="shared" si="166"/>
        <v>117.89020905652393</v>
      </c>
      <c r="AG86" s="115">
        <f t="shared" si="167"/>
        <v>0.72940716640300596</v>
      </c>
      <c r="AH86" s="116">
        <f t="shared" si="168"/>
        <v>43.73448355225176</v>
      </c>
      <c r="AI86" s="97">
        <f t="shared" si="180"/>
        <v>14.292314886356783</v>
      </c>
      <c r="AJ86" s="9"/>
      <c r="AK86" s="9">
        <f>GFA!AJ87</f>
        <v>179.58299178752853</v>
      </c>
      <c r="AL86" s="9">
        <f>GFA!AL87</f>
        <v>0</v>
      </c>
      <c r="AM86" s="97">
        <f t="shared" si="169"/>
        <v>161.62469260877569</v>
      </c>
      <c r="AN86" s="9">
        <f t="shared" si="170"/>
        <v>132.18252394288072</v>
      </c>
      <c r="AO86" s="115">
        <f t="shared" si="171"/>
        <v>0.81783619699025889</v>
      </c>
      <c r="AP86" s="116">
        <f t="shared" si="172"/>
        <v>29.442168665894968</v>
      </c>
      <c r="AQ86" s="97">
        <f t="shared" si="181"/>
        <v>14.292314886356777</v>
      </c>
      <c r="AR86" s="9"/>
      <c r="AS86" s="9">
        <f>GFA!AR87</f>
        <v>179.58299178752853</v>
      </c>
      <c r="AT86" s="9">
        <f>GFA!AT87</f>
        <v>0</v>
      </c>
      <c r="AU86" s="97">
        <f t="shared" si="173"/>
        <v>161.62469260877569</v>
      </c>
      <c r="AV86" s="9">
        <f t="shared" si="174"/>
        <v>146.47483882923751</v>
      </c>
      <c r="AW86" s="115">
        <f t="shared" si="175"/>
        <v>0.90626522757751193</v>
      </c>
      <c r="AX86" s="116">
        <f t="shared" si="176"/>
        <v>15.149853779538176</v>
      </c>
      <c r="AY86" s="97">
        <f t="shared" si="182"/>
        <v>14.292314886356763</v>
      </c>
    </row>
    <row r="87" spans="2:51" x14ac:dyDescent="0.35">
      <c r="B87" s="7" t="s">
        <v>138</v>
      </c>
      <c r="C87" s="14">
        <v>5.28E-2</v>
      </c>
      <c r="D87" s="9"/>
      <c r="E87" s="9">
        <f>GFA!D88</f>
        <v>507.02242353608557</v>
      </c>
      <c r="F87" s="9">
        <f>GFA!F88</f>
        <v>17.623387091154498</v>
      </c>
      <c r="G87" s="97">
        <f t="shared" si="113"/>
        <v>472.18122956451606</v>
      </c>
      <c r="H87" s="9">
        <v>427.429760838074</v>
      </c>
      <c r="I87" s="115">
        <f t="shared" si="155"/>
        <v>0.90522395655643595</v>
      </c>
      <c r="J87" s="116">
        <f t="shared" si="156"/>
        <v>44.751468726442056</v>
      </c>
      <c r="K87" s="97">
        <f t="shared" si="177"/>
        <v>42.218366723058544</v>
      </c>
      <c r="L87" s="9"/>
      <c r="M87" s="9">
        <f>GFA!L88</f>
        <v>518.69209832724005</v>
      </c>
      <c r="N87" s="9">
        <f>GFA!N88</f>
        <v>2.1128726626614625</v>
      </c>
      <c r="O87" s="97">
        <f t="shared" si="157"/>
        <v>468.72447389091144</v>
      </c>
      <c r="P87" s="9">
        <f t="shared" si="158"/>
        <v>469.64812756113253</v>
      </c>
      <c r="Q87" s="115">
        <f t="shared" si="159"/>
        <v>1.0019705684718228</v>
      </c>
      <c r="R87" s="116">
        <f t="shared" si="160"/>
        <v>0</v>
      </c>
      <c r="S87" s="97">
        <f t="shared" si="178"/>
        <v>0</v>
      </c>
      <c r="T87" s="9"/>
      <c r="U87" s="9">
        <f>GFA!T88</f>
        <v>520.80497098990156</v>
      </c>
      <c r="V87" s="9">
        <f>GFA!V88</f>
        <v>3.7313868058231527</v>
      </c>
      <c r="W87" s="97">
        <f t="shared" si="161"/>
        <v>472.08272201615227</v>
      </c>
      <c r="X87" s="9">
        <f t="shared" si="162"/>
        <v>469.64812756113253</v>
      </c>
      <c r="Y87" s="115">
        <f t="shared" si="163"/>
        <v>0.99484286473221861</v>
      </c>
      <c r="Z87" s="116">
        <f t="shared" si="164"/>
        <v>2.4345944550197487</v>
      </c>
      <c r="AA87" s="97">
        <f t="shared" si="179"/>
        <v>0.59965380665511048</v>
      </c>
      <c r="AB87" s="9"/>
      <c r="AC87" s="9">
        <f>GFA!AB88</f>
        <v>524.53635779572471</v>
      </c>
      <c r="AD87" s="9">
        <f>GFA!AD88</f>
        <v>6.19</v>
      </c>
      <c r="AE87" s="97">
        <f t="shared" si="165"/>
        <v>477.6537220161523</v>
      </c>
      <c r="AF87" s="9">
        <f t="shared" si="166"/>
        <v>470.24778136778764</v>
      </c>
      <c r="AG87" s="115">
        <f t="shared" si="167"/>
        <v>0.9844951681374855</v>
      </c>
      <c r="AH87" s="116">
        <f t="shared" si="168"/>
        <v>7.4059406483646626</v>
      </c>
      <c r="AI87" s="97">
        <f t="shared" si="180"/>
        <v>2.4202420419492356</v>
      </c>
      <c r="AJ87" s="9"/>
      <c r="AK87" s="9">
        <f>GFA!AJ88</f>
        <v>530.72635779572477</v>
      </c>
      <c r="AL87" s="9">
        <f>GFA!AL88</f>
        <v>29.759999999999998</v>
      </c>
      <c r="AM87" s="97">
        <f t="shared" si="169"/>
        <v>504.43772201615229</v>
      </c>
      <c r="AN87" s="9">
        <f t="shared" si="170"/>
        <v>472.66802340973686</v>
      </c>
      <c r="AO87" s="115">
        <f t="shared" si="171"/>
        <v>0.93701958196259127</v>
      </c>
      <c r="AP87" s="116">
        <f t="shared" si="172"/>
        <v>31.769698606415432</v>
      </c>
      <c r="AQ87" s="97">
        <f t="shared" si="181"/>
        <v>15.42218378952205</v>
      </c>
      <c r="AR87" s="9"/>
      <c r="AS87" s="9">
        <f>GFA!AR88</f>
        <v>560.48635779572476</v>
      </c>
      <c r="AT87" s="9">
        <f>GFA!AT88</f>
        <v>10.719999999999999</v>
      </c>
      <c r="AU87" s="97">
        <f t="shared" si="173"/>
        <v>514.08572201615232</v>
      </c>
      <c r="AV87" s="9">
        <f t="shared" si="174"/>
        <v>488.09020719925888</v>
      </c>
      <c r="AW87" s="115">
        <f t="shared" si="175"/>
        <v>0.94943350164454354</v>
      </c>
      <c r="AX87" s="116">
        <f t="shared" si="176"/>
        <v>25.995514816893433</v>
      </c>
      <c r="AY87" s="97">
        <f t="shared" si="182"/>
        <v>24.524070581974925</v>
      </c>
    </row>
    <row r="88" spans="2:51" x14ac:dyDescent="0.35">
      <c r="B88" s="7" t="s">
        <v>139</v>
      </c>
      <c r="C88" s="14">
        <v>0.18</v>
      </c>
      <c r="D88" s="9"/>
      <c r="E88" s="9">
        <f>GFA!D89</f>
        <v>0</v>
      </c>
      <c r="F88" s="9">
        <f>GFA!F89</f>
        <v>0</v>
      </c>
      <c r="G88" s="97">
        <f t="shared" si="113"/>
        <v>0</v>
      </c>
      <c r="H88" s="9">
        <v>0</v>
      </c>
      <c r="I88" s="115">
        <f t="shared" si="155"/>
        <v>0</v>
      </c>
      <c r="J88" s="116">
        <f t="shared" si="156"/>
        <v>0</v>
      </c>
      <c r="K88" s="97">
        <f t="shared" si="177"/>
        <v>0</v>
      </c>
      <c r="L88" s="9"/>
      <c r="M88" s="9">
        <f>GFA!L89</f>
        <v>0</v>
      </c>
      <c r="N88" s="9">
        <f>GFA!N89</f>
        <v>0</v>
      </c>
      <c r="O88" s="97">
        <f t="shared" si="157"/>
        <v>0</v>
      </c>
      <c r="P88" s="9">
        <f t="shared" si="158"/>
        <v>0</v>
      </c>
      <c r="Q88" s="115">
        <f t="shared" si="159"/>
        <v>0</v>
      </c>
      <c r="R88" s="116">
        <f t="shared" si="160"/>
        <v>0</v>
      </c>
      <c r="S88" s="97">
        <f t="shared" si="178"/>
        <v>0</v>
      </c>
      <c r="T88" s="9"/>
      <c r="U88" s="9">
        <f>GFA!T89</f>
        <v>0</v>
      </c>
      <c r="V88" s="9">
        <f>GFA!V89</f>
        <v>0</v>
      </c>
      <c r="W88" s="97">
        <f t="shared" si="161"/>
        <v>0</v>
      </c>
      <c r="X88" s="9">
        <f t="shared" si="162"/>
        <v>0</v>
      </c>
      <c r="Y88" s="115">
        <f t="shared" si="163"/>
        <v>0</v>
      </c>
      <c r="Z88" s="116">
        <f t="shared" si="164"/>
        <v>0</v>
      </c>
      <c r="AA88" s="97">
        <f t="shared" si="179"/>
        <v>0</v>
      </c>
      <c r="AB88" s="9"/>
      <c r="AC88" s="9">
        <f>GFA!AB89</f>
        <v>0</v>
      </c>
      <c r="AD88" s="9">
        <f>GFA!AD89</f>
        <v>0</v>
      </c>
      <c r="AE88" s="97">
        <f t="shared" si="165"/>
        <v>0</v>
      </c>
      <c r="AF88" s="9">
        <f t="shared" si="166"/>
        <v>0</v>
      </c>
      <c r="AG88" s="115">
        <f t="shared" si="167"/>
        <v>0</v>
      </c>
      <c r="AH88" s="116">
        <f t="shared" si="168"/>
        <v>0</v>
      </c>
      <c r="AI88" s="97">
        <f t="shared" si="180"/>
        <v>0</v>
      </c>
      <c r="AJ88" s="9"/>
      <c r="AK88" s="9">
        <f>GFA!AJ89</f>
        <v>0</v>
      </c>
      <c r="AL88" s="9">
        <f>GFA!AL89</f>
        <v>0</v>
      </c>
      <c r="AM88" s="97">
        <f t="shared" si="169"/>
        <v>0</v>
      </c>
      <c r="AN88" s="9">
        <f t="shared" si="170"/>
        <v>0</v>
      </c>
      <c r="AO88" s="115">
        <f t="shared" si="171"/>
        <v>0</v>
      </c>
      <c r="AP88" s="116">
        <f t="shared" si="172"/>
        <v>0</v>
      </c>
      <c r="AQ88" s="97">
        <f t="shared" si="181"/>
        <v>0</v>
      </c>
      <c r="AR88" s="9"/>
      <c r="AS88" s="9">
        <f>GFA!AR89</f>
        <v>0</v>
      </c>
      <c r="AT88" s="9">
        <f>GFA!AT89</f>
        <v>0</v>
      </c>
      <c r="AU88" s="97">
        <f t="shared" si="173"/>
        <v>0</v>
      </c>
      <c r="AV88" s="9">
        <f t="shared" si="174"/>
        <v>0</v>
      </c>
      <c r="AW88" s="115">
        <f t="shared" si="175"/>
        <v>0</v>
      </c>
      <c r="AX88" s="116">
        <f t="shared" si="176"/>
        <v>0</v>
      </c>
      <c r="AY88" s="97">
        <f t="shared" si="182"/>
        <v>0</v>
      </c>
    </row>
    <row r="89" spans="2:51" x14ac:dyDescent="0.35">
      <c r="B89" s="7" t="s">
        <v>140</v>
      </c>
      <c r="C89" s="14">
        <v>5.28E-2</v>
      </c>
      <c r="D89" s="9"/>
      <c r="E89" s="9">
        <f>GFA!D90</f>
        <v>0</v>
      </c>
      <c r="F89" s="9">
        <f>GFA!F90</f>
        <v>0</v>
      </c>
      <c r="G89" s="97">
        <f t="shared" si="113"/>
        <v>0</v>
      </c>
      <c r="H89" s="9">
        <v>0</v>
      </c>
      <c r="I89" s="115">
        <f t="shared" si="155"/>
        <v>0</v>
      </c>
      <c r="J89" s="116">
        <f t="shared" si="156"/>
        <v>0</v>
      </c>
      <c r="K89" s="97">
        <f t="shared" si="177"/>
        <v>0</v>
      </c>
      <c r="L89" s="9"/>
      <c r="M89" s="9">
        <f>GFA!L90</f>
        <v>0</v>
      </c>
      <c r="N89" s="9">
        <f>GFA!N90</f>
        <v>0</v>
      </c>
      <c r="O89" s="97">
        <f t="shared" si="157"/>
        <v>0</v>
      </c>
      <c r="P89" s="9">
        <f t="shared" si="158"/>
        <v>0</v>
      </c>
      <c r="Q89" s="115">
        <f t="shared" si="159"/>
        <v>0</v>
      </c>
      <c r="R89" s="116">
        <f t="shared" si="160"/>
        <v>0</v>
      </c>
      <c r="S89" s="97">
        <f t="shared" si="178"/>
        <v>0</v>
      </c>
      <c r="T89" s="9"/>
      <c r="U89" s="9">
        <f>GFA!T90</f>
        <v>0</v>
      </c>
      <c r="V89" s="9">
        <f>GFA!V90</f>
        <v>0</v>
      </c>
      <c r="W89" s="97">
        <f t="shared" si="161"/>
        <v>0</v>
      </c>
      <c r="X89" s="9">
        <f t="shared" si="162"/>
        <v>0</v>
      </c>
      <c r="Y89" s="115">
        <f t="shared" si="163"/>
        <v>0</v>
      </c>
      <c r="Z89" s="116">
        <f t="shared" si="164"/>
        <v>0</v>
      </c>
      <c r="AA89" s="97">
        <f t="shared" si="179"/>
        <v>0</v>
      </c>
      <c r="AB89" s="9"/>
      <c r="AC89" s="9">
        <f>GFA!AB90</f>
        <v>0</v>
      </c>
      <c r="AD89" s="9">
        <f>GFA!AD90</f>
        <v>0</v>
      </c>
      <c r="AE89" s="97">
        <f t="shared" si="165"/>
        <v>0</v>
      </c>
      <c r="AF89" s="9">
        <f t="shared" si="166"/>
        <v>0</v>
      </c>
      <c r="AG89" s="115">
        <f t="shared" si="167"/>
        <v>0</v>
      </c>
      <c r="AH89" s="116">
        <f t="shared" si="168"/>
        <v>0</v>
      </c>
      <c r="AI89" s="97">
        <f t="shared" si="180"/>
        <v>0</v>
      </c>
      <c r="AJ89" s="9"/>
      <c r="AK89" s="9">
        <f>GFA!AJ90</f>
        <v>0</v>
      </c>
      <c r="AL89" s="9">
        <f>GFA!AL90</f>
        <v>0</v>
      </c>
      <c r="AM89" s="97">
        <f t="shared" si="169"/>
        <v>0</v>
      </c>
      <c r="AN89" s="9">
        <f t="shared" si="170"/>
        <v>0</v>
      </c>
      <c r="AO89" s="115">
        <f t="shared" si="171"/>
        <v>0</v>
      </c>
      <c r="AP89" s="116">
        <f t="shared" si="172"/>
        <v>0</v>
      </c>
      <c r="AQ89" s="97">
        <f t="shared" si="181"/>
        <v>0</v>
      </c>
      <c r="AR89" s="9"/>
      <c r="AS89" s="9">
        <f>GFA!AR90</f>
        <v>0</v>
      </c>
      <c r="AT89" s="9">
        <f>GFA!AT90</f>
        <v>0</v>
      </c>
      <c r="AU89" s="97">
        <f t="shared" si="173"/>
        <v>0</v>
      </c>
      <c r="AV89" s="9">
        <f t="shared" si="174"/>
        <v>0</v>
      </c>
      <c r="AW89" s="115">
        <f t="shared" si="175"/>
        <v>0</v>
      </c>
      <c r="AX89" s="116">
        <f t="shared" si="176"/>
        <v>0</v>
      </c>
      <c r="AY89" s="97">
        <f t="shared" si="182"/>
        <v>0</v>
      </c>
    </row>
    <row r="90" spans="2:51" x14ac:dyDescent="0.35">
      <c r="B90" s="7" t="s">
        <v>141</v>
      </c>
      <c r="C90" s="14">
        <v>5.28E-2</v>
      </c>
      <c r="D90" s="9"/>
      <c r="E90" s="9">
        <f>GFA!D91</f>
        <v>0.66245870000000007</v>
      </c>
      <c r="F90" s="9">
        <f>GFA!F91</f>
        <v>0</v>
      </c>
      <c r="G90" s="97">
        <f t="shared" si="113"/>
        <v>0.59621283000000003</v>
      </c>
      <c r="H90" s="9">
        <v>0.59621283000000003</v>
      </c>
      <c r="I90" s="115">
        <f t="shared" si="155"/>
        <v>1</v>
      </c>
      <c r="J90" s="116">
        <f t="shared" si="156"/>
        <v>0</v>
      </c>
      <c r="K90" s="97">
        <f t="shared" si="177"/>
        <v>0</v>
      </c>
      <c r="L90" s="9"/>
      <c r="M90" s="9">
        <f>GFA!L91</f>
        <v>0.55913010000000007</v>
      </c>
      <c r="N90" s="9">
        <f>GFA!N91</f>
        <v>0</v>
      </c>
      <c r="O90" s="97">
        <f t="shared" si="157"/>
        <v>0.50321709000000003</v>
      </c>
      <c r="P90" s="9">
        <f t="shared" si="158"/>
        <v>0.59621283000000003</v>
      </c>
      <c r="Q90" s="115">
        <f t="shared" si="159"/>
        <v>1.1848024279143619</v>
      </c>
      <c r="R90" s="116">
        <f t="shared" si="160"/>
        <v>0</v>
      </c>
      <c r="S90" s="97">
        <f t="shared" si="178"/>
        <v>0</v>
      </c>
      <c r="T90" s="9"/>
      <c r="U90" s="9">
        <f>GFA!T91</f>
        <v>0.55913010000000007</v>
      </c>
      <c r="V90" s="9">
        <f>GFA!V91</f>
        <v>0</v>
      </c>
      <c r="W90" s="97">
        <f t="shared" si="161"/>
        <v>0.50321709000000003</v>
      </c>
      <c r="X90" s="9">
        <f t="shared" si="162"/>
        <v>0.59621283000000003</v>
      </c>
      <c r="Y90" s="115">
        <f t="shared" si="163"/>
        <v>1.1848024279143619</v>
      </c>
      <c r="Z90" s="116">
        <f t="shared" si="164"/>
        <v>0</v>
      </c>
      <c r="AA90" s="97">
        <f t="shared" si="179"/>
        <v>0</v>
      </c>
      <c r="AB90" s="9"/>
      <c r="AC90" s="9">
        <f>GFA!AB91</f>
        <v>0.55913010000000007</v>
      </c>
      <c r="AD90" s="9">
        <f>GFA!AD91</f>
        <v>0</v>
      </c>
      <c r="AE90" s="97">
        <f t="shared" si="165"/>
        <v>0.50321709000000003</v>
      </c>
      <c r="AF90" s="9">
        <f t="shared" si="166"/>
        <v>0.59621283000000003</v>
      </c>
      <c r="AG90" s="115">
        <f t="shared" si="167"/>
        <v>1.1848024279143619</v>
      </c>
      <c r="AH90" s="116">
        <f t="shared" si="168"/>
        <v>0</v>
      </c>
      <c r="AI90" s="97">
        <f t="shared" si="180"/>
        <v>0</v>
      </c>
      <c r="AJ90" s="9"/>
      <c r="AK90" s="9">
        <f>GFA!AJ91</f>
        <v>0.55913010000000007</v>
      </c>
      <c r="AL90" s="9">
        <f>GFA!AL91</f>
        <v>0</v>
      </c>
      <c r="AM90" s="97">
        <f t="shared" si="169"/>
        <v>0.50321709000000003</v>
      </c>
      <c r="AN90" s="9">
        <f t="shared" si="170"/>
        <v>0.59621283000000003</v>
      </c>
      <c r="AO90" s="115">
        <f t="shared" si="171"/>
        <v>1.1848024279143619</v>
      </c>
      <c r="AP90" s="116">
        <f t="shared" si="172"/>
        <v>0</v>
      </c>
      <c r="AQ90" s="97">
        <f t="shared" si="181"/>
        <v>0</v>
      </c>
      <c r="AR90" s="9"/>
      <c r="AS90" s="9">
        <f>GFA!AR91</f>
        <v>0.55913010000000007</v>
      </c>
      <c r="AT90" s="9">
        <f>GFA!AT91</f>
        <v>0</v>
      </c>
      <c r="AU90" s="97">
        <f t="shared" si="173"/>
        <v>0.50321709000000003</v>
      </c>
      <c r="AV90" s="9">
        <f t="shared" si="174"/>
        <v>0.59621283000000003</v>
      </c>
      <c r="AW90" s="115">
        <f t="shared" si="175"/>
        <v>1.1848024279143619</v>
      </c>
      <c r="AX90" s="116">
        <f t="shared" si="176"/>
        <v>0</v>
      </c>
      <c r="AY90" s="97">
        <f t="shared" si="182"/>
        <v>0</v>
      </c>
    </row>
    <row r="91" spans="2:51" x14ac:dyDescent="0.35">
      <c r="B91" s="7" t="s">
        <v>142</v>
      </c>
      <c r="C91" s="14">
        <v>9.5000000000000001E-2</v>
      </c>
      <c r="D91" s="9"/>
      <c r="E91" s="9">
        <f>GFA!D92</f>
        <v>1.858143355965383</v>
      </c>
      <c r="F91" s="9">
        <f>GFA!F92</f>
        <v>0.13718508747721819</v>
      </c>
      <c r="G91" s="97">
        <f t="shared" si="113"/>
        <v>1.7957955990983412</v>
      </c>
      <c r="H91" s="9">
        <v>1.5715585675536528</v>
      </c>
      <c r="I91" s="115">
        <f t="shared" si="155"/>
        <v>0.87513220788753654</v>
      </c>
      <c r="J91" s="116">
        <f t="shared" si="156"/>
        <v>0.22423703154468844</v>
      </c>
      <c r="K91" s="97">
        <f t="shared" si="177"/>
        <v>0.21154436938178153</v>
      </c>
      <c r="L91" s="9"/>
      <c r="M91" s="9">
        <f>GFA!L92</f>
        <v>1.9953284434426013</v>
      </c>
      <c r="N91" s="9">
        <f>GFA!N92</f>
        <v>0</v>
      </c>
      <c r="O91" s="97">
        <f t="shared" si="157"/>
        <v>1.7957955990983412</v>
      </c>
      <c r="P91" s="9">
        <f t="shared" si="158"/>
        <v>1.7831029369354343</v>
      </c>
      <c r="Q91" s="115">
        <f t="shared" si="159"/>
        <v>0.99293201176721901</v>
      </c>
      <c r="R91" s="116">
        <f t="shared" si="160"/>
        <v>1.2692662162906876E-2</v>
      </c>
      <c r="S91" s="97">
        <f t="shared" si="178"/>
        <v>2.5084312574914771E-3</v>
      </c>
      <c r="T91" s="9"/>
      <c r="U91" s="9">
        <f>GFA!T92</f>
        <v>1.9953284434426013</v>
      </c>
      <c r="V91" s="9">
        <f>GFA!V92</f>
        <v>1.776925068143741</v>
      </c>
      <c r="W91" s="97">
        <f t="shared" si="161"/>
        <v>3.3950281604277079</v>
      </c>
      <c r="X91" s="9">
        <f t="shared" si="162"/>
        <v>1.7856113681929258</v>
      </c>
      <c r="Y91" s="115">
        <f t="shared" si="163"/>
        <v>0.52594891229649576</v>
      </c>
      <c r="Z91" s="116">
        <f t="shared" si="164"/>
        <v>1.6094167922347822</v>
      </c>
      <c r="AA91" s="97">
        <f t="shared" si="179"/>
        <v>0.27396014286387482</v>
      </c>
      <c r="AB91" s="9"/>
      <c r="AC91" s="9">
        <f>GFA!AB92</f>
        <v>3.7722535115863423</v>
      </c>
      <c r="AD91" s="9">
        <f>GFA!AD92</f>
        <v>0</v>
      </c>
      <c r="AE91" s="97">
        <f t="shared" si="165"/>
        <v>3.3950281604277079</v>
      </c>
      <c r="AF91" s="9">
        <f t="shared" si="166"/>
        <v>2.0595715110568005</v>
      </c>
      <c r="AG91" s="115">
        <f t="shared" si="167"/>
        <v>0.60664342495389911</v>
      </c>
      <c r="AH91" s="116">
        <f t="shared" si="168"/>
        <v>1.3354566493709075</v>
      </c>
      <c r="AI91" s="97">
        <f t="shared" si="180"/>
        <v>0.35836408360070254</v>
      </c>
      <c r="AJ91" s="9"/>
      <c r="AK91" s="9">
        <f>GFA!AJ92</f>
        <v>3.7722535115863423</v>
      </c>
      <c r="AL91" s="9">
        <f>GFA!AL92</f>
        <v>0</v>
      </c>
      <c r="AM91" s="97">
        <f t="shared" si="169"/>
        <v>3.3950281604277079</v>
      </c>
      <c r="AN91" s="9">
        <f t="shared" si="170"/>
        <v>2.4179355946575032</v>
      </c>
      <c r="AO91" s="115">
        <f t="shared" si="171"/>
        <v>0.71219898050945474</v>
      </c>
      <c r="AP91" s="116">
        <f t="shared" si="172"/>
        <v>0.97709256577020476</v>
      </c>
      <c r="AQ91" s="97">
        <f t="shared" si="181"/>
        <v>0.47431677950009926</v>
      </c>
      <c r="AR91" s="9"/>
      <c r="AS91" s="9">
        <f>GFA!AR92</f>
        <v>3.7722535115863423</v>
      </c>
      <c r="AT91" s="9">
        <f>GFA!AT92</f>
        <v>0</v>
      </c>
      <c r="AU91" s="97">
        <f t="shared" si="173"/>
        <v>3.3950281604277079</v>
      </c>
      <c r="AV91" s="9">
        <f t="shared" si="174"/>
        <v>2.8922523741576023</v>
      </c>
      <c r="AW91" s="115">
        <f t="shared" si="175"/>
        <v>0.85190821327185529</v>
      </c>
      <c r="AX91" s="116">
        <f t="shared" si="176"/>
        <v>0.50277578627010566</v>
      </c>
      <c r="AY91" s="97">
        <f t="shared" si="182"/>
        <v>0.47431677950009948</v>
      </c>
    </row>
    <row r="92" spans="2:51" x14ac:dyDescent="0.35">
      <c r="B92" s="7" t="s">
        <v>143</v>
      </c>
      <c r="C92" s="14">
        <v>6.3299999999999995E-2</v>
      </c>
      <c r="D92" s="9"/>
      <c r="E92" s="9">
        <f>GFA!D93</f>
        <v>1.0355823</v>
      </c>
      <c r="F92" s="9">
        <f>GFA!F93</f>
        <v>4.7283165548896604E-2</v>
      </c>
      <c r="G92" s="97">
        <f t="shared" si="113"/>
        <v>0.97457891899400684</v>
      </c>
      <c r="H92" s="9">
        <v>0.61497157098000022</v>
      </c>
      <c r="I92" s="115">
        <f t="shared" si="155"/>
        <v>0.63101259322825753</v>
      </c>
      <c r="J92" s="116">
        <f t="shared" si="156"/>
        <v>0.35960734801400662</v>
      </c>
      <c r="K92" s="97">
        <f t="shared" si="177"/>
        <v>6.7048871779622571E-2</v>
      </c>
      <c r="L92" s="9"/>
      <c r="M92" s="9">
        <f>GFA!L93</f>
        <v>0.90947656554889655</v>
      </c>
      <c r="N92" s="9">
        <f>GFA!N93</f>
        <v>7.1909428114219992E-2</v>
      </c>
      <c r="O92" s="97">
        <f t="shared" si="157"/>
        <v>0.88324739429680488</v>
      </c>
      <c r="P92" s="9">
        <f t="shared" si="158"/>
        <v>0.68202044275962281</v>
      </c>
      <c r="Q92" s="115">
        <f t="shared" si="159"/>
        <v>0.7721737388227583</v>
      </c>
      <c r="R92" s="116">
        <f t="shared" si="160"/>
        <v>0.20122695153718206</v>
      </c>
      <c r="S92" s="97">
        <f t="shared" si="178"/>
        <v>3.9768172240549814E-2</v>
      </c>
      <c r="T92" s="9"/>
      <c r="U92" s="9">
        <f>GFA!T93</f>
        <v>0.98138599366311652</v>
      </c>
      <c r="V92" s="9">
        <f>GFA!V93</f>
        <v>3.0760558404524685E-2</v>
      </c>
      <c r="W92" s="97">
        <f t="shared" si="161"/>
        <v>0.91093189686087706</v>
      </c>
      <c r="X92" s="9">
        <f t="shared" si="162"/>
        <v>0.72178861500017266</v>
      </c>
      <c r="Y92" s="115">
        <f t="shared" si="163"/>
        <v>0.79236287310554954</v>
      </c>
      <c r="Z92" s="116">
        <f t="shared" si="164"/>
        <v>0.18914328186070439</v>
      </c>
      <c r="AA92" s="97">
        <f t="shared" si="179"/>
        <v>4.6587015236626693E-2</v>
      </c>
      <c r="AB92" s="9"/>
      <c r="AC92" s="9">
        <f>GFA!AB93</f>
        <v>1.0121465520676411</v>
      </c>
      <c r="AD92" s="9">
        <f>GFA!AD93</f>
        <v>0</v>
      </c>
      <c r="AE92" s="97">
        <f t="shared" si="165"/>
        <v>0.91093189686087706</v>
      </c>
      <c r="AF92" s="9">
        <f t="shared" si="166"/>
        <v>0.76837563023679933</v>
      </c>
      <c r="AG92" s="115">
        <f t="shared" si="167"/>
        <v>0.84350502258694127</v>
      </c>
      <c r="AH92" s="116">
        <f t="shared" si="168"/>
        <v>0.14255626662407772</v>
      </c>
      <c r="AI92" s="97">
        <f t="shared" si="180"/>
        <v>4.65870152366267E-2</v>
      </c>
      <c r="AJ92" s="9"/>
      <c r="AK92" s="9">
        <f>GFA!AJ93</f>
        <v>1.0121465520676411</v>
      </c>
      <c r="AL92" s="9">
        <f>GFA!AL93</f>
        <v>0</v>
      </c>
      <c r="AM92" s="97">
        <f t="shared" si="169"/>
        <v>0.91093189686087706</v>
      </c>
      <c r="AN92" s="9">
        <f t="shared" si="170"/>
        <v>0.81496264547342601</v>
      </c>
      <c r="AO92" s="115">
        <f t="shared" si="171"/>
        <v>0.894647172068333</v>
      </c>
      <c r="AP92" s="116">
        <f t="shared" si="172"/>
        <v>9.5969251387451049E-2</v>
      </c>
      <c r="AQ92" s="97">
        <f t="shared" si="181"/>
        <v>4.6587015236626714E-2</v>
      </c>
      <c r="AR92" s="9"/>
      <c r="AS92" s="9">
        <f>GFA!AR93</f>
        <v>1.0121465520676411</v>
      </c>
      <c r="AT92" s="9">
        <f>GFA!AT93</f>
        <v>0</v>
      </c>
      <c r="AU92" s="97">
        <f t="shared" si="173"/>
        <v>0.91093189686087706</v>
      </c>
      <c r="AV92" s="9">
        <f t="shared" si="174"/>
        <v>0.86154966071005268</v>
      </c>
      <c r="AW92" s="115">
        <f t="shared" si="175"/>
        <v>0.94578932154972462</v>
      </c>
      <c r="AX92" s="116">
        <f t="shared" si="176"/>
        <v>4.9382236150824377E-2</v>
      </c>
      <c r="AY92" s="97">
        <f t="shared" si="182"/>
        <v>4.6587015236626748E-2</v>
      </c>
    </row>
    <row r="93" spans="2:51" x14ac:dyDescent="0.35">
      <c r="B93" s="7" t="s">
        <v>144</v>
      </c>
      <c r="C93" s="14">
        <v>6.3299999999999995E-2</v>
      </c>
      <c r="D93" s="9"/>
      <c r="E93" s="9">
        <f>GFA!D94</f>
        <v>4.5805212946794551</v>
      </c>
      <c r="F93" s="9">
        <f>GFA!F94</f>
        <v>0.38098551310268375</v>
      </c>
      <c r="G93" s="97">
        <f t="shared" si="113"/>
        <v>4.4653561270039255</v>
      </c>
      <c r="H93" s="9">
        <v>2.3712555676384013</v>
      </c>
      <c r="I93" s="115">
        <f t="shared" si="155"/>
        <v>0.53103391984760207</v>
      </c>
      <c r="J93" s="116">
        <f t="shared" si="156"/>
        <v>2.0941005593655242</v>
      </c>
      <c r="K93" s="97">
        <f t="shared" si="177"/>
        <v>0.30200518944290938</v>
      </c>
      <c r="L93" s="9"/>
      <c r="M93" s="9">
        <f>GFA!L94</f>
        <v>4.8650616077821391</v>
      </c>
      <c r="N93" s="9">
        <f>GFA!N94</f>
        <v>0.11729921306364</v>
      </c>
      <c r="O93" s="97">
        <f t="shared" si="157"/>
        <v>4.4841247387612011</v>
      </c>
      <c r="P93" s="9">
        <f t="shared" si="158"/>
        <v>2.6732607570813105</v>
      </c>
      <c r="Q93" s="115">
        <f t="shared" si="159"/>
        <v>0.59616110452356286</v>
      </c>
      <c r="R93" s="116">
        <f t="shared" si="160"/>
        <v>1.8108639816798906</v>
      </c>
      <c r="S93" s="97">
        <f t="shared" si="178"/>
        <v>0.31167091986607359</v>
      </c>
      <c r="T93" s="9"/>
      <c r="U93" s="9">
        <f>GFA!T94</f>
        <v>4.9823608208457788</v>
      </c>
      <c r="V93" s="9">
        <f>GFA!V94</f>
        <v>0.1310218424647806</v>
      </c>
      <c r="W93" s="97">
        <f t="shared" si="161"/>
        <v>4.6020443969795028</v>
      </c>
      <c r="X93" s="9">
        <f t="shared" si="162"/>
        <v>2.9849316769473839</v>
      </c>
      <c r="Y93" s="115">
        <f t="shared" si="163"/>
        <v>0.6486099262550592</v>
      </c>
      <c r="Z93" s="116">
        <f t="shared" si="164"/>
        <v>1.6171127200321189</v>
      </c>
      <c r="AA93" s="97">
        <f t="shared" si="179"/>
        <v>0.3195302812735481</v>
      </c>
      <c r="AB93" s="9"/>
      <c r="AC93" s="9">
        <f>GFA!AB94</f>
        <v>5.113382663310559</v>
      </c>
      <c r="AD93" s="9">
        <f>GFA!AD94</f>
        <v>0</v>
      </c>
      <c r="AE93" s="97">
        <f t="shared" si="165"/>
        <v>4.6020443969795028</v>
      </c>
      <c r="AF93" s="9">
        <f t="shared" si="166"/>
        <v>3.3044619582209318</v>
      </c>
      <c r="AG93" s="115">
        <f t="shared" si="167"/>
        <v>0.71804217281992677</v>
      </c>
      <c r="AH93" s="116">
        <f t="shared" si="168"/>
        <v>1.297582438758571</v>
      </c>
      <c r="AI93" s="97">
        <f t="shared" si="180"/>
        <v>0.42404654861391206</v>
      </c>
      <c r="AJ93" s="9"/>
      <c r="AK93" s="9">
        <f>GFA!AJ94</f>
        <v>5.113382663310559</v>
      </c>
      <c r="AL93" s="9">
        <f>GFA!AL94</f>
        <v>0</v>
      </c>
      <c r="AM93" s="97">
        <f t="shared" si="169"/>
        <v>4.6020443969795028</v>
      </c>
      <c r="AN93" s="9">
        <f t="shared" si="170"/>
        <v>3.728508506834844</v>
      </c>
      <c r="AO93" s="115">
        <f t="shared" si="171"/>
        <v>0.81018525359772853</v>
      </c>
      <c r="AP93" s="116">
        <f t="shared" si="172"/>
        <v>0.87353589014465882</v>
      </c>
      <c r="AQ93" s="97">
        <f t="shared" si="181"/>
        <v>0.42404654861391194</v>
      </c>
      <c r="AR93" s="9"/>
      <c r="AS93" s="9">
        <f>GFA!AR94</f>
        <v>5.113382663310559</v>
      </c>
      <c r="AT93" s="9">
        <f>GFA!AT94</f>
        <v>0</v>
      </c>
      <c r="AU93" s="97">
        <f t="shared" si="173"/>
        <v>4.6020443969795028</v>
      </c>
      <c r="AV93" s="9">
        <f t="shared" si="174"/>
        <v>4.1525550554487562</v>
      </c>
      <c r="AW93" s="115">
        <f t="shared" si="175"/>
        <v>0.90232833437553028</v>
      </c>
      <c r="AX93" s="116">
        <f t="shared" si="176"/>
        <v>0.4494893415307466</v>
      </c>
      <c r="AY93" s="97">
        <f t="shared" si="182"/>
        <v>0.42404654861391167</v>
      </c>
    </row>
    <row r="94" spans="2:51" x14ac:dyDescent="0.35">
      <c r="B94" s="7" t="s">
        <v>145</v>
      </c>
      <c r="C94" s="14">
        <v>6.3299999999999995E-2</v>
      </c>
      <c r="D94" s="9"/>
      <c r="E94" s="9">
        <f>GFA!D95</f>
        <v>0</v>
      </c>
      <c r="F94" s="9">
        <f>GFA!F95</f>
        <v>0</v>
      </c>
      <c r="G94" s="97">
        <f t="shared" si="113"/>
        <v>0</v>
      </c>
      <c r="H94" s="9">
        <v>0</v>
      </c>
      <c r="I94" s="115">
        <f t="shared" si="155"/>
        <v>0</v>
      </c>
      <c r="J94" s="116">
        <f t="shared" si="156"/>
        <v>0</v>
      </c>
      <c r="K94" s="97">
        <f t="shared" si="177"/>
        <v>0</v>
      </c>
      <c r="L94" s="9"/>
      <c r="M94" s="9">
        <f>GFA!L95</f>
        <v>0</v>
      </c>
      <c r="N94" s="9">
        <f>GFA!N95</f>
        <v>0</v>
      </c>
      <c r="O94" s="97">
        <f t="shared" si="157"/>
        <v>0</v>
      </c>
      <c r="P94" s="9">
        <f t="shared" si="158"/>
        <v>0</v>
      </c>
      <c r="Q94" s="115">
        <f t="shared" si="159"/>
        <v>0</v>
      </c>
      <c r="R94" s="116">
        <f t="shared" si="160"/>
        <v>0</v>
      </c>
      <c r="S94" s="97">
        <f t="shared" si="178"/>
        <v>0</v>
      </c>
      <c r="T94" s="9"/>
      <c r="U94" s="9">
        <f>GFA!T95</f>
        <v>0</v>
      </c>
      <c r="V94" s="9">
        <f>GFA!V95</f>
        <v>0</v>
      </c>
      <c r="W94" s="97">
        <f t="shared" si="161"/>
        <v>0</v>
      </c>
      <c r="X94" s="9">
        <f t="shared" si="162"/>
        <v>0</v>
      </c>
      <c r="Y94" s="115">
        <f t="shared" si="163"/>
        <v>0</v>
      </c>
      <c r="Z94" s="116">
        <f t="shared" si="164"/>
        <v>0</v>
      </c>
      <c r="AA94" s="97">
        <f t="shared" si="179"/>
        <v>0</v>
      </c>
      <c r="AB94" s="9"/>
      <c r="AC94" s="9">
        <f>GFA!AB95</f>
        <v>0</v>
      </c>
      <c r="AD94" s="9">
        <f>GFA!AD95</f>
        <v>0</v>
      </c>
      <c r="AE94" s="97">
        <f t="shared" si="165"/>
        <v>0</v>
      </c>
      <c r="AF94" s="9">
        <f t="shared" si="166"/>
        <v>0</v>
      </c>
      <c r="AG94" s="115">
        <f t="shared" si="167"/>
        <v>0</v>
      </c>
      <c r="AH94" s="116">
        <f t="shared" si="168"/>
        <v>0</v>
      </c>
      <c r="AI94" s="97">
        <f t="shared" si="180"/>
        <v>0</v>
      </c>
      <c r="AJ94" s="9"/>
      <c r="AK94" s="9">
        <f>GFA!AJ95</f>
        <v>0</v>
      </c>
      <c r="AL94" s="9">
        <f>GFA!AL95</f>
        <v>0</v>
      </c>
      <c r="AM94" s="97">
        <f t="shared" si="169"/>
        <v>0</v>
      </c>
      <c r="AN94" s="9">
        <f t="shared" si="170"/>
        <v>0</v>
      </c>
      <c r="AO94" s="115">
        <f t="shared" si="171"/>
        <v>0</v>
      </c>
      <c r="AP94" s="116">
        <f t="shared" si="172"/>
        <v>0</v>
      </c>
      <c r="AQ94" s="97">
        <f t="shared" si="181"/>
        <v>0</v>
      </c>
      <c r="AR94" s="9"/>
      <c r="AS94" s="9">
        <f>GFA!AR95</f>
        <v>0</v>
      </c>
      <c r="AT94" s="9">
        <f>GFA!AT95</f>
        <v>0</v>
      </c>
      <c r="AU94" s="97">
        <f t="shared" si="173"/>
        <v>0</v>
      </c>
      <c r="AV94" s="9">
        <f t="shared" si="174"/>
        <v>0</v>
      </c>
      <c r="AW94" s="115">
        <f t="shared" si="175"/>
        <v>0</v>
      </c>
      <c r="AX94" s="116">
        <f t="shared" si="176"/>
        <v>0</v>
      </c>
      <c r="AY94" s="97">
        <f t="shared" si="182"/>
        <v>0</v>
      </c>
    </row>
    <row r="95" spans="2:51" x14ac:dyDescent="0.35">
      <c r="B95" s="7" t="s">
        <v>146</v>
      </c>
      <c r="C95" s="14">
        <v>0.15</v>
      </c>
      <c r="D95" s="9"/>
      <c r="E95" s="9">
        <f>GFA!D96</f>
        <v>0</v>
      </c>
      <c r="F95" s="9">
        <f>GFA!F96</f>
        <v>0</v>
      </c>
      <c r="G95" s="97">
        <f t="shared" si="113"/>
        <v>0</v>
      </c>
      <c r="H95" s="9">
        <v>0</v>
      </c>
      <c r="I95" s="115">
        <f t="shared" si="155"/>
        <v>0</v>
      </c>
      <c r="J95" s="116">
        <f t="shared" si="156"/>
        <v>0</v>
      </c>
      <c r="K95" s="97">
        <f t="shared" si="177"/>
        <v>0</v>
      </c>
      <c r="L95" s="9"/>
      <c r="M95" s="9">
        <f>GFA!L96</f>
        <v>0</v>
      </c>
      <c r="N95" s="9">
        <f>GFA!N96</f>
        <v>0</v>
      </c>
      <c r="O95" s="97">
        <f t="shared" si="157"/>
        <v>0</v>
      </c>
      <c r="P95" s="9">
        <f t="shared" si="158"/>
        <v>0</v>
      </c>
      <c r="Q95" s="115">
        <f t="shared" si="159"/>
        <v>0</v>
      </c>
      <c r="R95" s="116">
        <f t="shared" si="160"/>
        <v>0</v>
      </c>
      <c r="S95" s="97">
        <f t="shared" si="178"/>
        <v>0</v>
      </c>
      <c r="T95" s="9"/>
      <c r="U95" s="9">
        <f>GFA!T96</f>
        <v>0</v>
      </c>
      <c r="V95" s="9">
        <f>GFA!V96</f>
        <v>0</v>
      </c>
      <c r="W95" s="97">
        <f t="shared" si="161"/>
        <v>0</v>
      </c>
      <c r="X95" s="9">
        <f t="shared" si="162"/>
        <v>0</v>
      </c>
      <c r="Y95" s="115">
        <f t="shared" si="163"/>
        <v>0</v>
      </c>
      <c r="Z95" s="116">
        <f t="shared" si="164"/>
        <v>0</v>
      </c>
      <c r="AA95" s="97">
        <f t="shared" si="179"/>
        <v>0</v>
      </c>
      <c r="AB95" s="9"/>
      <c r="AC95" s="9">
        <f>GFA!AB96</f>
        <v>0</v>
      </c>
      <c r="AD95" s="9">
        <f>GFA!AD96</f>
        <v>0</v>
      </c>
      <c r="AE95" s="97">
        <f t="shared" si="165"/>
        <v>0</v>
      </c>
      <c r="AF95" s="9">
        <f t="shared" si="166"/>
        <v>0</v>
      </c>
      <c r="AG95" s="115">
        <f t="shared" si="167"/>
        <v>0</v>
      </c>
      <c r="AH95" s="116">
        <f t="shared" si="168"/>
        <v>0</v>
      </c>
      <c r="AI95" s="97">
        <f t="shared" si="180"/>
        <v>0</v>
      </c>
      <c r="AJ95" s="9"/>
      <c r="AK95" s="9">
        <f>GFA!AJ96</f>
        <v>0</v>
      </c>
      <c r="AL95" s="9">
        <f>GFA!AL96</f>
        <v>0</v>
      </c>
      <c r="AM95" s="97">
        <f t="shared" si="169"/>
        <v>0</v>
      </c>
      <c r="AN95" s="9">
        <f t="shared" si="170"/>
        <v>0</v>
      </c>
      <c r="AO95" s="115">
        <f t="shared" si="171"/>
        <v>0</v>
      </c>
      <c r="AP95" s="116">
        <f t="shared" si="172"/>
        <v>0</v>
      </c>
      <c r="AQ95" s="97">
        <f t="shared" si="181"/>
        <v>0</v>
      </c>
      <c r="AR95" s="9"/>
      <c r="AS95" s="9">
        <f>GFA!AR96</f>
        <v>0</v>
      </c>
      <c r="AT95" s="9">
        <f>GFA!AT96</f>
        <v>0</v>
      </c>
      <c r="AU95" s="97">
        <f t="shared" si="173"/>
        <v>0</v>
      </c>
      <c r="AV95" s="9">
        <f t="shared" si="174"/>
        <v>0</v>
      </c>
      <c r="AW95" s="115">
        <f t="shared" si="175"/>
        <v>0</v>
      </c>
      <c r="AX95" s="116">
        <f t="shared" si="176"/>
        <v>0</v>
      </c>
      <c r="AY95" s="97">
        <f t="shared" si="182"/>
        <v>0</v>
      </c>
    </row>
    <row r="96" spans="2:51" x14ac:dyDescent="0.35">
      <c r="B96" s="7" t="s">
        <v>147</v>
      </c>
      <c r="C96" s="14">
        <v>0.3</v>
      </c>
      <c r="D96" s="9"/>
      <c r="E96" s="9">
        <f>GFA!D97</f>
        <v>0</v>
      </c>
      <c r="F96" s="9">
        <f>GFA!F97</f>
        <v>0</v>
      </c>
      <c r="G96" s="97">
        <f t="shared" si="113"/>
        <v>0</v>
      </c>
      <c r="H96" s="9">
        <v>0</v>
      </c>
      <c r="I96" s="115">
        <f t="shared" si="155"/>
        <v>0</v>
      </c>
      <c r="J96" s="116">
        <f t="shared" si="156"/>
        <v>0</v>
      </c>
      <c r="K96" s="97">
        <f t="shared" si="177"/>
        <v>0</v>
      </c>
      <c r="L96" s="9"/>
      <c r="M96" s="9">
        <f>GFA!L97</f>
        <v>0</v>
      </c>
      <c r="N96" s="9">
        <f>GFA!N97</f>
        <v>0</v>
      </c>
      <c r="O96" s="97">
        <f t="shared" si="157"/>
        <v>0</v>
      </c>
      <c r="P96" s="9">
        <f t="shared" si="158"/>
        <v>0</v>
      </c>
      <c r="Q96" s="115">
        <f t="shared" si="159"/>
        <v>0</v>
      </c>
      <c r="R96" s="116">
        <f t="shared" si="160"/>
        <v>0</v>
      </c>
      <c r="S96" s="97">
        <f t="shared" si="178"/>
        <v>0</v>
      </c>
      <c r="T96" s="9"/>
      <c r="U96" s="9">
        <f>GFA!T97</f>
        <v>0</v>
      </c>
      <c r="V96" s="9">
        <f>GFA!V97</f>
        <v>0</v>
      </c>
      <c r="W96" s="97">
        <f t="shared" si="161"/>
        <v>0</v>
      </c>
      <c r="X96" s="9">
        <f t="shared" si="162"/>
        <v>0</v>
      </c>
      <c r="Y96" s="115">
        <f t="shared" si="163"/>
        <v>0</v>
      </c>
      <c r="Z96" s="116">
        <f t="shared" si="164"/>
        <v>0</v>
      </c>
      <c r="AA96" s="97">
        <f t="shared" si="179"/>
        <v>0</v>
      </c>
      <c r="AB96" s="9"/>
      <c r="AC96" s="9">
        <f>GFA!AB97</f>
        <v>0</v>
      </c>
      <c r="AD96" s="9">
        <f>GFA!AD97</f>
        <v>0</v>
      </c>
      <c r="AE96" s="97">
        <f t="shared" si="165"/>
        <v>0</v>
      </c>
      <c r="AF96" s="9">
        <f t="shared" si="166"/>
        <v>0</v>
      </c>
      <c r="AG96" s="115">
        <f t="shared" si="167"/>
        <v>0</v>
      </c>
      <c r="AH96" s="116">
        <f t="shared" si="168"/>
        <v>0</v>
      </c>
      <c r="AI96" s="97">
        <f t="shared" si="180"/>
        <v>0</v>
      </c>
      <c r="AJ96" s="9"/>
      <c r="AK96" s="9">
        <f>GFA!AJ97</f>
        <v>0</v>
      </c>
      <c r="AL96" s="9">
        <f>GFA!AL97</f>
        <v>0</v>
      </c>
      <c r="AM96" s="97">
        <f t="shared" si="169"/>
        <v>0</v>
      </c>
      <c r="AN96" s="9">
        <f t="shared" si="170"/>
        <v>0</v>
      </c>
      <c r="AO96" s="115">
        <f t="shared" si="171"/>
        <v>0</v>
      </c>
      <c r="AP96" s="116">
        <f t="shared" si="172"/>
        <v>0</v>
      </c>
      <c r="AQ96" s="97">
        <f t="shared" si="181"/>
        <v>0</v>
      </c>
      <c r="AR96" s="9"/>
      <c r="AS96" s="9">
        <f>GFA!AR97</f>
        <v>0</v>
      </c>
      <c r="AT96" s="9">
        <f>GFA!AT97</f>
        <v>0</v>
      </c>
      <c r="AU96" s="97">
        <f t="shared" si="173"/>
        <v>0</v>
      </c>
      <c r="AV96" s="9">
        <f t="shared" si="174"/>
        <v>0</v>
      </c>
      <c r="AW96" s="115">
        <f t="shared" si="175"/>
        <v>0</v>
      </c>
      <c r="AX96" s="116">
        <f t="shared" si="176"/>
        <v>0</v>
      </c>
      <c r="AY96" s="97">
        <f t="shared" si="182"/>
        <v>0</v>
      </c>
    </row>
    <row r="97" spans="2:51" x14ac:dyDescent="0.35">
      <c r="B97" s="7" t="s">
        <v>148</v>
      </c>
      <c r="C97" s="14">
        <v>0.3</v>
      </c>
      <c r="D97" s="9"/>
      <c r="E97" s="9">
        <f>GFA!D98</f>
        <v>0</v>
      </c>
      <c r="F97" s="9">
        <f>GFA!F98</f>
        <v>0</v>
      </c>
      <c r="G97" s="97">
        <f t="shared" si="113"/>
        <v>0</v>
      </c>
      <c r="H97" s="9">
        <v>0</v>
      </c>
      <c r="I97" s="115">
        <f t="shared" si="155"/>
        <v>0</v>
      </c>
      <c r="J97" s="116">
        <f t="shared" si="156"/>
        <v>0</v>
      </c>
      <c r="K97" s="97">
        <f t="shared" si="177"/>
        <v>0</v>
      </c>
      <c r="L97" s="9"/>
      <c r="M97" s="9">
        <f>GFA!L98</f>
        <v>0</v>
      </c>
      <c r="N97" s="9">
        <f>GFA!N98</f>
        <v>0</v>
      </c>
      <c r="O97" s="97">
        <f t="shared" si="157"/>
        <v>0</v>
      </c>
      <c r="P97" s="9">
        <f t="shared" si="158"/>
        <v>0</v>
      </c>
      <c r="Q97" s="115">
        <f t="shared" si="159"/>
        <v>0</v>
      </c>
      <c r="R97" s="116">
        <f t="shared" si="160"/>
        <v>0</v>
      </c>
      <c r="S97" s="97">
        <f t="shared" si="178"/>
        <v>0</v>
      </c>
      <c r="T97" s="9"/>
      <c r="U97" s="9">
        <f>GFA!T98</f>
        <v>0</v>
      </c>
      <c r="V97" s="9">
        <f>GFA!V98</f>
        <v>0</v>
      </c>
      <c r="W97" s="97">
        <f t="shared" si="161"/>
        <v>0</v>
      </c>
      <c r="X97" s="9">
        <f t="shared" si="162"/>
        <v>0</v>
      </c>
      <c r="Y97" s="115">
        <f t="shared" si="163"/>
        <v>0</v>
      </c>
      <c r="Z97" s="116">
        <f t="shared" si="164"/>
        <v>0</v>
      </c>
      <c r="AA97" s="97">
        <f t="shared" si="179"/>
        <v>0</v>
      </c>
      <c r="AB97" s="9"/>
      <c r="AC97" s="9">
        <f>GFA!AB98</f>
        <v>0</v>
      </c>
      <c r="AD97" s="9">
        <f>GFA!AD98</f>
        <v>0</v>
      </c>
      <c r="AE97" s="97">
        <f t="shared" si="165"/>
        <v>0</v>
      </c>
      <c r="AF97" s="9">
        <f t="shared" si="166"/>
        <v>0</v>
      </c>
      <c r="AG97" s="115">
        <f t="shared" si="167"/>
        <v>0</v>
      </c>
      <c r="AH97" s="116">
        <f t="shared" si="168"/>
        <v>0</v>
      </c>
      <c r="AI97" s="97">
        <f t="shared" si="180"/>
        <v>0</v>
      </c>
      <c r="AJ97" s="9"/>
      <c r="AK97" s="9">
        <f>GFA!AJ98</f>
        <v>0</v>
      </c>
      <c r="AL97" s="9">
        <f>GFA!AL98</f>
        <v>0</v>
      </c>
      <c r="AM97" s="97">
        <f t="shared" si="169"/>
        <v>0</v>
      </c>
      <c r="AN97" s="9">
        <f t="shared" si="170"/>
        <v>0</v>
      </c>
      <c r="AO97" s="115">
        <f t="shared" si="171"/>
        <v>0</v>
      </c>
      <c r="AP97" s="116">
        <f t="shared" si="172"/>
        <v>0</v>
      </c>
      <c r="AQ97" s="97">
        <f t="shared" si="181"/>
        <v>0</v>
      </c>
      <c r="AR97" s="9"/>
      <c r="AS97" s="9">
        <f>GFA!AR98</f>
        <v>0</v>
      </c>
      <c r="AT97" s="9">
        <f>GFA!AT98</f>
        <v>0</v>
      </c>
      <c r="AU97" s="97">
        <f t="shared" si="173"/>
        <v>0</v>
      </c>
      <c r="AV97" s="9">
        <f t="shared" si="174"/>
        <v>0</v>
      </c>
      <c r="AW97" s="115">
        <f t="shared" si="175"/>
        <v>0</v>
      </c>
      <c r="AX97" s="116">
        <f t="shared" si="176"/>
        <v>0</v>
      </c>
      <c r="AY97" s="97">
        <f t="shared" si="182"/>
        <v>0</v>
      </c>
    </row>
    <row r="98" spans="2:51" ht="31" x14ac:dyDescent="0.35">
      <c r="B98" s="84" t="s">
        <v>149</v>
      </c>
      <c r="C98" s="117">
        <v>3.3399999999999999E-2</v>
      </c>
      <c r="D98" s="9"/>
      <c r="E98" s="9">
        <f>GFA!D99</f>
        <v>0</v>
      </c>
      <c r="F98" s="9">
        <f>GFA!F99</f>
        <v>0</v>
      </c>
      <c r="G98" s="97">
        <f t="shared" si="113"/>
        <v>0</v>
      </c>
      <c r="H98" s="9">
        <v>0</v>
      </c>
      <c r="I98" s="115">
        <f t="shared" si="155"/>
        <v>0</v>
      </c>
      <c r="J98" s="116">
        <f t="shared" si="156"/>
        <v>0</v>
      </c>
      <c r="K98" s="97">
        <f t="shared" si="177"/>
        <v>0</v>
      </c>
      <c r="L98" s="9"/>
      <c r="M98" s="9">
        <f>GFA!L99</f>
        <v>0</v>
      </c>
      <c r="N98" s="9">
        <f>GFA!N99</f>
        <v>0</v>
      </c>
      <c r="O98" s="97">
        <f t="shared" si="157"/>
        <v>0</v>
      </c>
      <c r="P98" s="9">
        <f t="shared" si="158"/>
        <v>0</v>
      </c>
      <c r="Q98" s="115">
        <f t="shared" si="159"/>
        <v>0</v>
      </c>
      <c r="R98" s="116">
        <f t="shared" si="160"/>
        <v>0</v>
      </c>
      <c r="S98" s="97">
        <f t="shared" si="178"/>
        <v>0</v>
      </c>
      <c r="T98" s="9"/>
      <c r="U98" s="9">
        <f>GFA!T99</f>
        <v>0</v>
      </c>
      <c r="V98" s="9">
        <f>GFA!V99</f>
        <v>0</v>
      </c>
      <c r="W98" s="97">
        <f t="shared" si="161"/>
        <v>0</v>
      </c>
      <c r="X98" s="9">
        <f t="shared" si="162"/>
        <v>0</v>
      </c>
      <c r="Y98" s="115">
        <f t="shared" si="163"/>
        <v>0</v>
      </c>
      <c r="Z98" s="116">
        <f t="shared" si="164"/>
        <v>0</v>
      </c>
      <c r="AA98" s="97">
        <f t="shared" si="179"/>
        <v>0</v>
      </c>
      <c r="AB98" s="9"/>
      <c r="AC98" s="9">
        <f>GFA!AB99</f>
        <v>0</v>
      </c>
      <c r="AD98" s="9">
        <f>GFA!AD99</f>
        <v>0</v>
      </c>
      <c r="AE98" s="97">
        <f t="shared" si="165"/>
        <v>0</v>
      </c>
      <c r="AF98" s="9">
        <f t="shared" si="166"/>
        <v>0</v>
      </c>
      <c r="AG98" s="115">
        <f t="shared" si="167"/>
        <v>0</v>
      </c>
      <c r="AH98" s="116">
        <f t="shared" si="168"/>
        <v>0</v>
      </c>
      <c r="AI98" s="97">
        <f t="shared" si="180"/>
        <v>0</v>
      </c>
      <c r="AJ98" s="9"/>
      <c r="AK98" s="9">
        <f>GFA!AJ99</f>
        <v>0</v>
      </c>
      <c r="AL98" s="9">
        <f>GFA!AL99</f>
        <v>0</v>
      </c>
      <c r="AM98" s="97">
        <f t="shared" si="169"/>
        <v>0</v>
      </c>
      <c r="AN98" s="9">
        <f t="shared" si="170"/>
        <v>0</v>
      </c>
      <c r="AO98" s="115">
        <f t="shared" si="171"/>
        <v>0</v>
      </c>
      <c r="AP98" s="116">
        <f t="shared" si="172"/>
        <v>0</v>
      </c>
      <c r="AQ98" s="97">
        <f t="shared" si="181"/>
        <v>0</v>
      </c>
      <c r="AR98" s="9"/>
      <c r="AS98" s="9">
        <f>GFA!AR99</f>
        <v>0</v>
      </c>
      <c r="AT98" s="9">
        <f>GFA!AT99</f>
        <v>0</v>
      </c>
      <c r="AU98" s="97">
        <f t="shared" si="173"/>
        <v>0</v>
      </c>
      <c r="AV98" s="9">
        <f t="shared" si="174"/>
        <v>0</v>
      </c>
      <c r="AW98" s="115">
        <f t="shared" si="175"/>
        <v>0</v>
      </c>
      <c r="AX98" s="116">
        <f t="shared" si="176"/>
        <v>0</v>
      </c>
      <c r="AY98" s="97">
        <f t="shared" si="182"/>
        <v>0</v>
      </c>
    </row>
    <row r="99" spans="2:51" s="3" customFormat="1" ht="15" x14ac:dyDescent="0.35">
      <c r="B99" s="12" t="s">
        <v>27</v>
      </c>
      <c r="C99" s="12"/>
      <c r="D99" s="13"/>
      <c r="E99" s="13">
        <f t="shared" ref="E99" si="183">SUM(E82:E98)</f>
        <v>759.86978897899996</v>
      </c>
      <c r="F99" s="13">
        <f t="shared" ref="F99:H99" si="184">SUM(F82:F98)</f>
        <v>34.472755448999997</v>
      </c>
      <c r="G99" s="13">
        <f t="shared" si="184"/>
        <v>714.9082899852001</v>
      </c>
      <c r="H99" s="13">
        <f t="shared" si="184"/>
        <v>596.69283854394894</v>
      </c>
      <c r="I99" s="119"/>
      <c r="J99" s="13">
        <f t="shared" ref="J99:K99" si="185">SUM(J82:J98)</f>
        <v>118.21545144125112</v>
      </c>
      <c r="K99" s="13">
        <f t="shared" si="185"/>
        <v>51.202697286358266</v>
      </c>
      <c r="L99" s="13"/>
      <c r="M99" s="13">
        <f t="shared" ref="M99:P99" si="186">SUM(M82:M98)</f>
        <v>787.74009852800009</v>
      </c>
      <c r="N99" s="13">
        <f t="shared" si="186"/>
        <v>3.7639175140000001</v>
      </c>
      <c r="O99" s="13">
        <f t="shared" si="186"/>
        <v>712.35361443780027</v>
      </c>
      <c r="P99" s="13">
        <f t="shared" si="186"/>
        <v>647.89553583030715</v>
      </c>
      <c r="Q99" s="119"/>
      <c r="R99" s="13">
        <f t="shared" ref="R99:S99" si="187">SUM(R82:R98)</f>
        <v>65.562760453487726</v>
      </c>
      <c r="S99" s="13">
        <f t="shared" si="187"/>
        <v>7.2501966287064299</v>
      </c>
      <c r="T99" s="13"/>
      <c r="U99" s="13">
        <f t="shared" ref="U99:X99" si="188">SUM(U82:U98)</f>
        <v>791.5040160420001</v>
      </c>
      <c r="V99" s="13">
        <f t="shared" si="188"/>
        <v>10.037937731000001</v>
      </c>
      <c r="W99" s="13">
        <f t="shared" si="188"/>
        <v>721.38775839570019</v>
      </c>
      <c r="X99" s="13">
        <f t="shared" si="188"/>
        <v>655.14573245901374</v>
      </c>
      <c r="Y99" s="119"/>
      <c r="Z99" s="13">
        <f t="shared" ref="Z99:AA99" si="189">SUM(Z82:Z98)</f>
        <v>66.42305411246025</v>
      </c>
      <c r="AA99" s="13">
        <f t="shared" si="189"/>
        <v>8.2333360017990938</v>
      </c>
      <c r="AB99" s="13"/>
      <c r="AC99" s="13">
        <f t="shared" ref="AC99:AF99" si="190">SUM(AC82:AC98)</f>
        <v>801.54195377299993</v>
      </c>
      <c r="AD99" s="13">
        <f t="shared" si="190"/>
        <v>6.19</v>
      </c>
      <c r="AE99" s="13">
        <f t="shared" si="190"/>
        <v>726.95875839570033</v>
      </c>
      <c r="AF99" s="13">
        <f t="shared" si="190"/>
        <v>663.37906846081285</v>
      </c>
      <c r="AG99" s="119"/>
      <c r="AH99" s="13">
        <f t="shared" ref="AH99:AI99" si="191">SUM(AH82:AH98)</f>
        <v>63.760718110661159</v>
      </c>
      <c r="AI99" s="13">
        <f t="shared" si="191"/>
        <v>20.250144237617121</v>
      </c>
      <c r="AJ99" s="13"/>
      <c r="AK99" s="13">
        <f t="shared" ref="AK99:AN99" si="192">SUM(AK82:AK98)</f>
        <v>807.73195377299999</v>
      </c>
      <c r="AL99" s="13">
        <f t="shared" si="192"/>
        <v>29.759999999999998</v>
      </c>
      <c r="AM99" s="13">
        <f t="shared" si="192"/>
        <v>753.74275839570021</v>
      </c>
      <c r="AN99" s="13">
        <f t="shared" si="192"/>
        <v>683.6292126984298</v>
      </c>
      <c r="AO99" s="119"/>
      <c r="AP99" s="13">
        <f t="shared" ref="AP99:AQ99" si="193">SUM(AP82:AP98)</f>
        <v>70.294573873044044</v>
      </c>
      <c r="AQ99" s="13">
        <f t="shared" si="193"/>
        <v>33.368038681089324</v>
      </c>
      <c r="AR99" s="13"/>
      <c r="AS99" s="13">
        <f t="shared" ref="AS99:AV99" si="194">SUM(AS82:AS98)</f>
        <v>837.49195377299998</v>
      </c>
      <c r="AT99" s="13">
        <f t="shared" si="194"/>
        <v>10.719999999999999</v>
      </c>
      <c r="AU99" s="13">
        <f t="shared" si="194"/>
        <v>763.39075839570035</v>
      </c>
      <c r="AV99" s="13">
        <f t="shared" si="194"/>
        <v>716.99725137951907</v>
      </c>
      <c r="AW99" s="119"/>
      <c r="AX99" s="13">
        <f t="shared" ref="AX99:AY99" si="195">SUM(AX82:AX98)</f>
        <v>46.574535191954752</v>
      </c>
      <c r="AY99" s="13">
        <f t="shared" si="195"/>
        <v>42.469925473542183</v>
      </c>
    </row>
    <row r="100" spans="2:51" x14ac:dyDescent="0.35">
      <c r="B100" s="70" t="s">
        <v>153</v>
      </c>
      <c r="C100" s="70"/>
      <c r="D100" s="118">
        <v>7.37</v>
      </c>
      <c r="E100" s="9"/>
      <c r="F100" s="9"/>
      <c r="G100" s="97"/>
      <c r="H100" s="9"/>
      <c r="I100" s="115"/>
      <c r="J100" s="116"/>
      <c r="K100" s="97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</row>
    <row r="101" spans="2:51" x14ac:dyDescent="0.35">
      <c r="B101" s="7" t="s">
        <v>133</v>
      </c>
      <c r="C101" s="14">
        <v>0</v>
      </c>
      <c r="D101" s="9"/>
      <c r="E101" s="9">
        <f>GFA!D102</f>
        <v>5.6199999999999992</v>
      </c>
      <c r="F101" s="9">
        <f>GFA!F102</f>
        <v>0</v>
      </c>
      <c r="G101" s="97">
        <f t="shared" si="113"/>
        <v>5.0579999999999998</v>
      </c>
      <c r="H101" s="9">
        <v>0</v>
      </c>
      <c r="I101" s="115">
        <f t="shared" si="155"/>
        <v>0</v>
      </c>
      <c r="J101" s="116">
        <f t="shared" si="156"/>
        <v>5.0579999999999998</v>
      </c>
      <c r="K101" s="97">
        <f>IF(I101&lt;70%,MIN(J101,(E101+F101/2)*$C101),J101/D$100)</f>
        <v>0</v>
      </c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</row>
    <row r="102" spans="2:51" x14ac:dyDescent="0.35">
      <c r="B102" s="7" t="s">
        <v>134</v>
      </c>
      <c r="C102" s="14">
        <v>3.3399999999999999E-2</v>
      </c>
      <c r="D102" s="9"/>
      <c r="E102" s="9">
        <f>GFA!D103</f>
        <v>25.388585699999993</v>
      </c>
      <c r="F102" s="9">
        <f>GFA!F103</f>
        <v>0</v>
      </c>
      <c r="G102" s="97">
        <f t="shared" si="113"/>
        <v>22.849727129999994</v>
      </c>
      <c r="H102" s="9">
        <v>21.862335052223894</v>
      </c>
      <c r="I102" s="115">
        <f t="shared" si="155"/>
        <v>0.95678757684245042</v>
      </c>
      <c r="J102" s="116">
        <f t="shared" si="156"/>
        <v>0.98739207777610005</v>
      </c>
      <c r="K102" s="97">
        <f t="shared" ref="K102:K117" si="196">IF(I102&lt;70%,MIN(J102,(E102+F102/2)*$C102),J102/D$100)</f>
        <v>0.13397450173352782</v>
      </c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</row>
    <row r="103" spans="2:51" ht="31" x14ac:dyDescent="0.35">
      <c r="B103" s="84" t="s">
        <v>135</v>
      </c>
      <c r="C103" s="117">
        <v>5.28E-2</v>
      </c>
      <c r="D103" s="9"/>
      <c r="E103" s="9">
        <f>GFA!D104</f>
        <v>0</v>
      </c>
      <c r="F103" s="9">
        <f>GFA!F104</f>
        <v>0</v>
      </c>
      <c r="G103" s="97">
        <f t="shared" si="113"/>
        <v>0</v>
      </c>
      <c r="H103" s="9">
        <v>0</v>
      </c>
      <c r="I103" s="115">
        <f t="shared" si="155"/>
        <v>0</v>
      </c>
      <c r="J103" s="116">
        <f t="shared" si="156"/>
        <v>0</v>
      </c>
      <c r="K103" s="97">
        <f t="shared" si="196"/>
        <v>0</v>
      </c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</row>
    <row r="104" spans="2:51" x14ac:dyDescent="0.35">
      <c r="B104" s="7" t="s">
        <v>136</v>
      </c>
      <c r="C104" s="14">
        <v>5.28E-2</v>
      </c>
      <c r="D104" s="9"/>
      <c r="E104" s="9">
        <f>GFA!D105</f>
        <v>154.5094086</v>
      </c>
      <c r="F104" s="9">
        <f>GFA!F105</f>
        <v>0</v>
      </c>
      <c r="G104" s="97">
        <f t="shared" si="113"/>
        <v>139.05846774</v>
      </c>
      <c r="H104" s="9">
        <v>112.53302161358212</v>
      </c>
      <c r="I104" s="115">
        <f t="shared" si="155"/>
        <v>0.80924968786501406</v>
      </c>
      <c r="J104" s="116">
        <f t="shared" si="156"/>
        <v>26.525446126417876</v>
      </c>
      <c r="K104" s="97">
        <f t="shared" si="196"/>
        <v>3.5991107362846506</v>
      </c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</row>
    <row r="105" spans="2:51" x14ac:dyDescent="0.35">
      <c r="B105" s="7" t="s">
        <v>137</v>
      </c>
      <c r="C105" s="14">
        <v>3.3399999999999999E-2</v>
      </c>
      <c r="D105" s="9"/>
      <c r="E105" s="9">
        <f>GFA!D106</f>
        <v>3.4276608999999993</v>
      </c>
      <c r="F105" s="9">
        <f>GFA!F106</f>
        <v>0</v>
      </c>
      <c r="G105" s="97">
        <f t="shared" si="113"/>
        <v>3.0848948099999993</v>
      </c>
      <c r="H105" s="9">
        <v>6.6044840000000002</v>
      </c>
      <c r="I105" s="115">
        <f t="shared" si="155"/>
        <v>2.140910600449291</v>
      </c>
      <c r="J105" s="116">
        <f t="shared" si="156"/>
        <v>0</v>
      </c>
      <c r="K105" s="97">
        <f t="shared" si="196"/>
        <v>0</v>
      </c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</row>
    <row r="106" spans="2:51" x14ac:dyDescent="0.35">
      <c r="B106" s="7" t="s">
        <v>138</v>
      </c>
      <c r="C106" s="14">
        <v>5.28E-2</v>
      </c>
      <c r="D106" s="9"/>
      <c r="E106" s="9">
        <f>GFA!D107</f>
        <v>506.73119495672574</v>
      </c>
      <c r="F106" s="9">
        <f>GFA!F107</f>
        <v>0</v>
      </c>
      <c r="G106" s="97">
        <f t="shared" si="113"/>
        <v>456.05807546105319</v>
      </c>
      <c r="H106" s="9">
        <v>431.48648223682795</v>
      </c>
      <c r="I106" s="115">
        <f t="shared" si="155"/>
        <v>0.94612178898622834</v>
      </c>
      <c r="J106" s="116">
        <f t="shared" si="156"/>
        <v>24.571593224225239</v>
      </c>
      <c r="K106" s="97">
        <f t="shared" si="196"/>
        <v>3.3340017943317828</v>
      </c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</row>
    <row r="107" spans="2:51" x14ac:dyDescent="0.35">
      <c r="B107" s="7" t="s">
        <v>139</v>
      </c>
      <c r="C107" s="14">
        <v>0.18</v>
      </c>
      <c r="D107" s="9"/>
      <c r="E107" s="9">
        <f>GFA!D108</f>
        <v>0</v>
      </c>
      <c r="F107" s="9">
        <f>GFA!F108</f>
        <v>0</v>
      </c>
      <c r="G107" s="97">
        <f t="shared" si="113"/>
        <v>0</v>
      </c>
      <c r="H107" s="9">
        <v>0</v>
      </c>
      <c r="I107" s="115">
        <f t="shared" si="155"/>
        <v>0</v>
      </c>
      <c r="J107" s="116">
        <f t="shared" si="156"/>
        <v>0</v>
      </c>
      <c r="K107" s="97">
        <f t="shared" si="196"/>
        <v>0</v>
      </c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</row>
    <row r="108" spans="2:51" x14ac:dyDescent="0.35">
      <c r="B108" s="7" t="s">
        <v>140</v>
      </c>
      <c r="C108" s="14">
        <v>5.28E-2</v>
      </c>
      <c r="D108" s="9"/>
      <c r="E108" s="9">
        <f>GFA!D109</f>
        <v>0</v>
      </c>
      <c r="F108" s="9">
        <f>GFA!F109</f>
        <v>0</v>
      </c>
      <c r="G108" s="97">
        <f t="shared" si="113"/>
        <v>0</v>
      </c>
      <c r="H108" s="9">
        <v>0</v>
      </c>
      <c r="I108" s="115">
        <f t="shared" si="155"/>
        <v>0</v>
      </c>
      <c r="J108" s="116">
        <f t="shared" si="156"/>
        <v>0</v>
      </c>
      <c r="K108" s="97">
        <f t="shared" si="196"/>
        <v>0</v>
      </c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</row>
    <row r="109" spans="2:51" x14ac:dyDescent="0.35">
      <c r="B109" s="7" t="s">
        <v>141</v>
      </c>
      <c r="C109" s="14">
        <v>5.28E-2</v>
      </c>
      <c r="D109" s="9"/>
      <c r="E109" s="9">
        <f>GFA!D110</f>
        <v>2.7108903472742409</v>
      </c>
      <c r="F109" s="9">
        <f>GFA!F110</f>
        <v>0</v>
      </c>
      <c r="G109" s="97">
        <f t="shared" si="113"/>
        <v>2.439801312546817</v>
      </c>
      <c r="H109" s="9">
        <v>2.0239946449492776</v>
      </c>
      <c r="I109" s="115">
        <f t="shared" si="155"/>
        <v>0.82957355360896401</v>
      </c>
      <c r="J109" s="116">
        <f t="shared" si="156"/>
        <v>0.41580666759753937</v>
      </c>
      <c r="K109" s="97">
        <f t="shared" si="196"/>
        <v>5.6418815142135599E-2</v>
      </c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</row>
    <row r="110" spans="2:51" x14ac:dyDescent="0.35">
      <c r="B110" s="7" t="s">
        <v>142</v>
      </c>
      <c r="C110" s="14">
        <v>9.5000000000000001E-2</v>
      </c>
      <c r="D110" s="9"/>
      <c r="E110" s="9">
        <f>GFA!D111</f>
        <v>0.91125900000000071</v>
      </c>
      <c r="F110" s="9">
        <f>GFA!F111</f>
        <v>0</v>
      </c>
      <c r="G110" s="97">
        <f t="shared" si="113"/>
        <v>0.82013310000000061</v>
      </c>
      <c r="H110" s="9">
        <v>1.1949503580000003</v>
      </c>
      <c r="I110" s="115">
        <f t="shared" si="155"/>
        <v>1.4570200349187217</v>
      </c>
      <c r="J110" s="116">
        <f t="shared" si="156"/>
        <v>0</v>
      </c>
      <c r="K110" s="97">
        <f t="shared" si="196"/>
        <v>0</v>
      </c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</row>
    <row r="111" spans="2:51" x14ac:dyDescent="0.35">
      <c r="B111" s="7" t="s">
        <v>143</v>
      </c>
      <c r="C111" s="14">
        <v>6.3299999999999995E-2</v>
      </c>
      <c r="D111" s="9"/>
      <c r="E111" s="9">
        <f>GFA!D112</f>
        <v>0.70118820000000004</v>
      </c>
      <c r="F111" s="9">
        <f>GFA!F112</f>
        <v>0</v>
      </c>
      <c r="G111" s="97">
        <f t="shared" si="113"/>
        <v>0.63106938000000001</v>
      </c>
      <c r="H111" s="9">
        <v>0.64800000000000002</v>
      </c>
      <c r="I111" s="115">
        <f t="shared" si="155"/>
        <v>1.0268284606044427</v>
      </c>
      <c r="J111" s="116">
        <f t="shared" si="156"/>
        <v>0</v>
      </c>
      <c r="K111" s="97">
        <f t="shared" si="196"/>
        <v>0</v>
      </c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</row>
    <row r="112" spans="2:51" x14ac:dyDescent="0.35">
      <c r="B112" s="7" t="s">
        <v>144</v>
      </c>
      <c r="C112" s="14">
        <v>6.3299999999999995E-2</v>
      </c>
      <c r="D112" s="9"/>
      <c r="E112" s="9">
        <f>GFA!D113</f>
        <v>1.7772091999999999</v>
      </c>
      <c r="F112" s="9">
        <f>GFA!F113</f>
        <v>0</v>
      </c>
      <c r="G112" s="97">
        <f t="shared" si="113"/>
        <v>1.5994882799999999</v>
      </c>
      <c r="H112" s="9">
        <v>1.3903844591144126</v>
      </c>
      <c r="I112" s="115">
        <f t="shared" si="155"/>
        <v>0.8692683006807731</v>
      </c>
      <c r="J112" s="116">
        <f t="shared" si="156"/>
        <v>0.20910382088558732</v>
      </c>
      <c r="K112" s="97">
        <f t="shared" si="196"/>
        <v>2.8372295913919581E-2</v>
      </c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</row>
    <row r="113" spans="2:51" x14ac:dyDescent="0.35">
      <c r="B113" s="7" t="s">
        <v>145</v>
      </c>
      <c r="C113" s="14">
        <v>6.3299999999999995E-2</v>
      </c>
      <c r="D113" s="9"/>
      <c r="E113" s="9">
        <f>GFA!D114</f>
        <v>0</v>
      </c>
      <c r="F113" s="9">
        <f>GFA!F114</f>
        <v>0</v>
      </c>
      <c r="G113" s="97">
        <f t="shared" si="113"/>
        <v>0</v>
      </c>
      <c r="H113" s="9">
        <v>0</v>
      </c>
      <c r="I113" s="115">
        <f t="shared" si="155"/>
        <v>0</v>
      </c>
      <c r="J113" s="116">
        <f t="shared" si="156"/>
        <v>0</v>
      </c>
      <c r="K113" s="97">
        <f t="shared" si="196"/>
        <v>0</v>
      </c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</row>
    <row r="114" spans="2:51" x14ac:dyDescent="0.35">
      <c r="B114" s="7" t="s">
        <v>146</v>
      </c>
      <c r="C114" s="14">
        <v>0.15</v>
      </c>
      <c r="D114" s="9"/>
      <c r="E114" s="9">
        <f>GFA!D115</f>
        <v>0</v>
      </c>
      <c r="F114" s="9">
        <f>GFA!F115</f>
        <v>0</v>
      </c>
      <c r="G114" s="97">
        <f t="shared" si="113"/>
        <v>0</v>
      </c>
      <c r="H114" s="9">
        <v>0</v>
      </c>
      <c r="I114" s="115">
        <f t="shared" si="155"/>
        <v>0</v>
      </c>
      <c r="J114" s="116">
        <f t="shared" si="156"/>
        <v>0</v>
      </c>
      <c r="K114" s="97">
        <f t="shared" si="196"/>
        <v>0</v>
      </c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</row>
    <row r="115" spans="2:51" x14ac:dyDescent="0.35">
      <c r="B115" s="7" t="s">
        <v>147</v>
      </c>
      <c r="C115" s="14">
        <v>0.3</v>
      </c>
      <c r="D115" s="9"/>
      <c r="E115" s="9">
        <f>GFA!D116</f>
        <v>0</v>
      </c>
      <c r="F115" s="9">
        <f>GFA!F116</f>
        <v>0</v>
      </c>
      <c r="G115" s="97">
        <f t="shared" si="113"/>
        <v>0</v>
      </c>
      <c r="H115" s="9">
        <v>0</v>
      </c>
      <c r="I115" s="115">
        <f t="shared" si="155"/>
        <v>0</v>
      </c>
      <c r="J115" s="116">
        <f t="shared" si="156"/>
        <v>0</v>
      </c>
      <c r="K115" s="97">
        <f t="shared" si="196"/>
        <v>0</v>
      </c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</row>
    <row r="116" spans="2:51" x14ac:dyDescent="0.35">
      <c r="B116" s="7" t="s">
        <v>148</v>
      </c>
      <c r="C116" s="14">
        <v>0.3</v>
      </c>
      <c r="D116" s="9"/>
      <c r="E116" s="9">
        <f>GFA!D117</f>
        <v>0</v>
      </c>
      <c r="F116" s="9">
        <f>GFA!F117</f>
        <v>0</v>
      </c>
      <c r="G116" s="97">
        <f t="shared" si="113"/>
        <v>0</v>
      </c>
      <c r="H116" s="9">
        <v>0</v>
      </c>
      <c r="I116" s="115">
        <f t="shared" si="155"/>
        <v>0</v>
      </c>
      <c r="J116" s="116">
        <f t="shared" si="156"/>
        <v>0</v>
      </c>
      <c r="K116" s="97">
        <f t="shared" si="196"/>
        <v>0</v>
      </c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</row>
    <row r="117" spans="2:51" ht="31" x14ac:dyDescent="0.35">
      <c r="B117" s="84" t="s">
        <v>149</v>
      </c>
      <c r="C117" s="117">
        <v>3.3399999999999999E-2</v>
      </c>
      <c r="D117" s="9"/>
      <c r="E117" s="9">
        <f>GFA!D118</f>
        <v>0</v>
      </c>
      <c r="F117" s="9">
        <f>GFA!F118</f>
        <v>0</v>
      </c>
      <c r="G117" s="97">
        <f t="shared" si="113"/>
        <v>0</v>
      </c>
      <c r="H117" s="9">
        <v>0</v>
      </c>
      <c r="I117" s="115">
        <f t="shared" si="155"/>
        <v>0</v>
      </c>
      <c r="J117" s="116">
        <f t="shared" si="156"/>
        <v>0</v>
      </c>
      <c r="K117" s="97">
        <f t="shared" si="196"/>
        <v>0</v>
      </c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</row>
    <row r="118" spans="2:51" x14ac:dyDescent="0.35">
      <c r="B118" s="12" t="s">
        <v>27</v>
      </c>
      <c r="C118" s="12"/>
      <c r="D118" s="13"/>
      <c r="E118" s="13">
        <f t="shared" ref="E118" si="197">SUM(E101:E117)</f>
        <v>701.77739690400006</v>
      </c>
      <c r="F118" s="13">
        <f t="shared" ref="F118:H118" si="198">SUM(F101:F117)</f>
        <v>0</v>
      </c>
      <c r="G118" s="13">
        <f t="shared" si="198"/>
        <v>631.59965721359993</v>
      </c>
      <c r="H118" s="13">
        <f t="shared" si="198"/>
        <v>577.74365236469782</v>
      </c>
      <c r="I118" s="13"/>
      <c r="J118" s="13">
        <f t="shared" ref="J118:K118" si="199">SUM(J101:J117)</f>
        <v>57.767341916902339</v>
      </c>
      <c r="K118" s="13">
        <f t="shared" si="199"/>
        <v>7.1518781434060168</v>
      </c>
      <c r="L118" s="13"/>
      <c r="M118" s="13">
        <f t="shared" ref="M118:P118" si="200">SUM(M101:M117)</f>
        <v>0</v>
      </c>
      <c r="N118" s="13">
        <f t="shared" si="200"/>
        <v>0</v>
      </c>
      <c r="O118" s="13">
        <f t="shared" si="200"/>
        <v>0</v>
      </c>
      <c r="P118" s="13">
        <f t="shared" si="200"/>
        <v>0</v>
      </c>
      <c r="Q118" s="13"/>
      <c r="R118" s="13">
        <f t="shared" ref="R118:S118" si="201">SUM(R101:R117)</f>
        <v>0</v>
      </c>
      <c r="S118" s="13">
        <f t="shared" si="201"/>
        <v>0</v>
      </c>
      <c r="T118" s="13"/>
      <c r="U118" s="13">
        <f t="shared" ref="U118:X118" si="202">SUM(U101:U117)</f>
        <v>0</v>
      </c>
      <c r="V118" s="13">
        <f t="shared" si="202"/>
        <v>0</v>
      </c>
      <c r="W118" s="13">
        <f t="shared" si="202"/>
        <v>0</v>
      </c>
      <c r="X118" s="13">
        <f t="shared" si="202"/>
        <v>0</v>
      </c>
      <c r="Y118" s="13"/>
      <c r="Z118" s="13">
        <f t="shared" ref="Z118:AA118" si="203">SUM(Z101:Z117)</f>
        <v>0</v>
      </c>
      <c r="AA118" s="13">
        <f t="shared" si="203"/>
        <v>0</v>
      </c>
      <c r="AB118" s="13"/>
      <c r="AC118" s="13">
        <f t="shared" ref="AC118:AF118" si="204">SUM(AC101:AC117)</f>
        <v>0</v>
      </c>
      <c r="AD118" s="13">
        <f t="shared" si="204"/>
        <v>0</v>
      </c>
      <c r="AE118" s="13">
        <f t="shared" si="204"/>
        <v>0</v>
      </c>
      <c r="AF118" s="13">
        <f t="shared" si="204"/>
        <v>0</v>
      </c>
      <c r="AG118" s="13"/>
      <c r="AH118" s="13">
        <f t="shared" ref="AH118:AI118" si="205">SUM(AH101:AH117)</f>
        <v>0</v>
      </c>
      <c r="AI118" s="13">
        <f t="shared" si="205"/>
        <v>0</v>
      </c>
      <c r="AJ118" s="13"/>
      <c r="AK118" s="13">
        <f t="shared" ref="AK118:AN118" si="206">SUM(AK101:AK117)</f>
        <v>0</v>
      </c>
      <c r="AL118" s="13">
        <f t="shared" si="206"/>
        <v>0</v>
      </c>
      <c r="AM118" s="13">
        <f t="shared" si="206"/>
        <v>0</v>
      </c>
      <c r="AN118" s="13">
        <f t="shared" si="206"/>
        <v>0</v>
      </c>
      <c r="AO118" s="13"/>
      <c r="AP118" s="13">
        <f t="shared" ref="AP118:AQ118" si="207">SUM(AP101:AP117)</f>
        <v>0</v>
      </c>
      <c r="AQ118" s="13">
        <f t="shared" si="207"/>
        <v>0</v>
      </c>
      <c r="AR118" s="13"/>
      <c r="AS118" s="13">
        <f t="shared" ref="AS118:AV118" si="208">SUM(AS101:AS117)</f>
        <v>0</v>
      </c>
      <c r="AT118" s="13">
        <f t="shared" si="208"/>
        <v>0</v>
      </c>
      <c r="AU118" s="13">
        <f t="shared" si="208"/>
        <v>0</v>
      </c>
      <c r="AV118" s="13">
        <f t="shared" si="208"/>
        <v>0</v>
      </c>
      <c r="AW118" s="13"/>
      <c r="AX118" s="13">
        <f t="shared" ref="AX118:AY118" si="209">SUM(AX101:AX117)</f>
        <v>0</v>
      </c>
      <c r="AY118" s="13">
        <f t="shared" si="209"/>
        <v>0</v>
      </c>
    </row>
    <row r="119" spans="2:51" x14ac:dyDescent="0.35">
      <c r="B119" s="70" t="s">
        <v>154</v>
      </c>
      <c r="C119" s="70"/>
      <c r="D119" s="118">
        <v>4</v>
      </c>
      <c r="E119" s="7"/>
      <c r="F119" s="7"/>
      <c r="G119" s="7"/>
      <c r="H119" s="7"/>
      <c r="I119" s="7"/>
      <c r="J119" s="7"/>
      <c r="K119" s="7"/>
      <c r="L119" s="118">
        <f>D119-1+2</f>
        <v>5</v>
      </c>
      <c r="M119" s="7"/>
      <c r="N119" s="7"/>
      <c r="O119" s="7"/>
      <c r="P119" s="7"/>
      <c r="Q119" s="7"/>
      <c r="R119" s="7"/>
      <c r="S119" s="7"/>
      <c r="T119" s="118">
        <f>L119-1</f>
        <v>4</v>
      </c>
      <c r="U119" s="7"/>
      <c r="V119" s="7"/>
      <c r="W119" s="7"/>
      <c r="X119" s="7"/>
      <c r="Y119" s="7"/>
      <c r="Z119" s="7"/>
      <c r="AA119" s="7"/>
      <c r="AB119" s="118">
        <f>T119-1</f>
        <v>3</v>
      </c>
      <c r="AC119" s="7"/>
      <c r="AD119" s="7"/>
      <c r="AE119" s="7"/>
      <c r="AF119" s="7"/>
      <c r="AG119" s="7"/>
      <c r="AH119" s="7"/>
      <c r="AI119" s="7"/>
      <c r="AJ119" s="118">
        <f>AB119-1</f>
        <v>2</v>
      </c>
      <c r="AK119" s="7"/>
      <c r="AL119" s="7"/>
      <c r="AM119" s="7"/>
      <c r="AN119" s="7"/>
      <c r="AO119" s="7"/>
      <c r="AP119" s="7"/>
      <c r="AQ119" s="7"/>
      <c r="AR119" s="118">
        <f>AJ119-1</f>
        <v>1</v>
      </c>
      <c r="AS119" s="9"/>
      <c r="AT119" s="9"/>
      <c r="AU119" s="9"/>
      <c r="AV119" s="9"/>
      <c r="AW119" s="9"/>
      <c r="AX119" s="9"/>
      <c r="AY119" s="9"/>
    </row>
    <row r="120" spans="2:51" x14ac:dyDescent="0.35">
      <c r="B120" s="7" t="s">
        <v>133</v>
      </c>
      <c r="C120" s="14">
        <v>0</v>
      </c>
      <c r="D120" s="9"/>
      <c r="E120" s="9">
        <f>GFA!D121</f>
        <v>55.16</v>
      </c>
      <c r="F120" s="9">
        <f>GFA!F121</f>
        <v>0</v>
      </c>
      <c r="G120" s="97">
        <f t="shared" ref="G120:G155" si="210">90%*(E120+F120)</f>
        <v>49.643999999999998</v>
      </c>
      <c r="H120" s="9">
        <v>1.29</v>
      </c>
      <c r="I120" s="115">
        <f t="shared" ref="I120:I136" si="211">IFERROR(H120/G120,0)</f>
        <v>2.5985013294657966E-2</v>
      </c>
      <c r="J120" s="116">
        <f t="shared" ref="J120:J136" si="212">MAX(G120-H120,0)</f>
        <v>48.353999999999999</v>
      </c>
      <c r="K120" s="97">
        <f>IF(I120&lt;70%,MIN(J120,(E120+F120/2)*$C120),J120/D$119)</f>
        <v>0</v>
      </c>
      <c r="L120" s="9"/>
      <c r="M120" s="9">
        <f>GFA!L121</f>
        <v>55.16</v>
      </c>
      <c r="N120" s="9">
        <f>GFA!N121</f>
        <v>0</v>
      </c>
      <c r="O120" s="97">
        <f t="shared" ref="O120:O136" si="213">90%*(M120+N120)</f>
        <v>49.643999999999998</v>
      </c>
      <c r="P120" s="9">
        <f t="shared" ref="P120:P136" si="214">H120+K120</f>
        <v>1.29</v>
      </c>
      <c r="Q120" s="115">
        <f t="shared" ref="Q120:Q136" si="215">IFERROR(P120/O120,0)</f>
        <v>2.5985013294657966E-2</v>
      </c>
      <c r="R120" s="116">
        <f t="shared" ref="R120:R136" si="216">MAX(O120-P120,0)</f>
        <v>48.353999999999999</v>
      </c>
      <c r="S120" s="97">
        <f>IF(Q120&lt;70%,MIN(R120,(M120+N120/2)*$C120),R120/L$119)</f>
        <v>0</v>
      </c>
      <c r="T120" s="9"/>
      <c r="U120" s="9">
        <f>GFA!T121</f>
        <v>55.16</v>
      </c>
      <c r="V120" s="9">
        <f>GFA!V121</f>
        <v>0</v>
      </c>
      <c r="W120" s="97">
        <f t="shared" ref="W120:W136" si="217">90%*(U120+V120)</f>
        <v>49.643999999999998</v>
      </c>
      <c r="X120" s="9">
        <f t="shared" ref="X120:X136" si="218">P120+S120</f>
        <v>1.29</v>
      </c>
      <c r="Y120" s="115">
        <f t="shared" ref="Y120:Y136" si="219">IFERROR(X120/W120,0)</f>
        <v>2.5985013294657966E-2</v>
      </c>
      <c r="Z120" s="116">
        <f t="shared" ref="Z120:Z136" si="220">MAX(W120-X120,0)</f>
        <v>48.353999999999999</v>
      </c>
      <c r="AA120" s="97">
        <f>IF(Y120&lt;70%,MIN(Z120,(U120+V120/2)*$C120),Z120/T$119)</f>
        <v>0</v>
      </c>
      <c r="AB120" s="9"/>
      <c r="AC120" s="9">
        <f>GFA!AB121</f>
        <v>55.16</v>
      </c>
      <c r="AD120" s="9">
        <f>GFA!AD121</f>
        <v>0</v>
      </c>
      <c r="AE120" s="97">
        <f t="shared" ref="AE120:AE136" si="221">90%*(AC120+AD120)</f>
        <v>49.643999999999998</v>
      </c>
      <c r="AF120" s="9">
        <f t="shared" ref="AF120:AF136" si="222">X120+AA120</f>
        <v>1.29</v>
      </c>
      <c r="AG120" s="115">
        <f t="shared" ref="AG120:AG136" si="223">IFERROR(AF120/AE120,0)</f>
        <v>2.5985013294657966E-2</v>
      </c>
      <c r="AH120" s="116">
        <f t="shared" ref="AH120:AH136" si="224">MAX(AE120-AF120,0)</f>
        <v>48.353999999999999</v>
      </c>
      <c r="AI120" s="97">
        <f>IF(AG120&lt;70%,MIN(AH120,(AC120+AD120/2)*$C120),AH120/AB$119)</f>
        <v>0</v>
      </c>
      <c r="AJ120" s="9"/>
      <c r="AK120" s="9">
        <f>GFA!AJ121</f>
        <v>55.16</v>
      </c>
      <c r="AL120" s="9">
        <f>GFA!AL121</f>
        <v>0</v>
      </c>
      <c r="AM120" s="97">
        <f t="shared" ref="AM120:AM136" si="225">90%*(AK120+AL120)</f>
        <v>49.643999999999998</v>
      </c>
      <c r="AN120" s="9">
        <f t="shared" ref="AN120:AN136" si="226">AF120+AI120</f>
        <v>1.29</v>
      </c>
      <c r="AO120" s="115">
        <f t="shared" ref="AO120:AO136" si="227">IFERROR(AN120/AM120,0)</f>
        <v>2.5985013294657966E-2</v>
      </c>
      <c r="AP120" s="116">
        <f t="shared" ref="AP120:AP136" si="228">MAX(AM120-AN120,0)</f>
        <v>48.353999999999999</v>
      </c>
      <c r="AQ120" s="97">
        <f>IF(AO120&lt;70%,MIN(AP120,(AK120+AL120/2)*$C120),AP120/AJ$119)</f>
        <v>0</v>
      </c>
      <c r="AR120" s="9"/>
      <c r="AS120" s="9">
        <f>GFA!AR121</f>
        <v>55.16</v>
      </c>
      <c r="AT120" s="9">
        <f>GFA!AT121</f>
        <v>0</v>
      </c>
      <c r="AU120" s="97">
        <f t="shared" ref="AU120:AU136" si="229">90%*(AS120+AT120)</f>
        <v>49.643999999999998</v>
      </c>
      <c r="AV120" s="9">
        <f t="shared" ref="AV120:AV136" si="230">AN120+AQ120</f>
        <v>1.29</v>
      </c>
      <c r="AW120" s="115">
        <f t="shared" ref="AW120:AW136" si="231">IFERROR(AV120/AU120,0)</f>
        <v>2.5985013294657966E-2</v>
      </c>
      <c r="AX120" s="116">
        <f t="shared" ref="AX120:AX136" si="232">MAX(AU120-AV120,0)</f>
        <v>48.353999999999999</v>
      </c>
      <c r="AY120" s="97">
        <f>IF(AW120&lt;70%,MIN(AX120,(AS120+AT120/2)*$C120),AX120/AR$119)</f>
        <v>0</v>
      </c>
    </row>
    <row r="121" spans="2:51" x14ac:dyDescent="0.35">
      <c r="B121" s="7" t="s">
        <v>134</v>
      </c>
      <c r="C121" s="14">
        <v>3.3399999999999999E-2</v>
      </c>
      <c r="D121" s="9"/>
      <c r="E121" s="9">
        <f>GFA!D122</f>
        <v>72.7991016</v>
      </c>
      <c r="F121" s="9">
        <f>GFA!F122</f>
        <v>0</v>
      </c>
      <c r="G121" s="97">
        <f t="shared" si="210"/>
        <v>65.51919144</v>
      </c>
      <c r="H121" s="9">
        <v>65.420601247077443</v>
      </c>
      <c r="I121" s="115">
        <f t="shared" si="211"/>
        <v>0.99849524710614224</v>
      </c>
      <c r="J121" s="116">
        <f t="shared" si="212"/>
        <v>9.8590192922557662E-2</v>
      </c>
      <c r="K121" s="97">
        <f t="shared" ref="K121:K136" si="233">IF(I121&lt;70%,MIN(J121,(E121+F121/2)*$C121),J121/D$119)</f>
        <v>2.4647548230639416E-2</v>
      </c>
      <c r="L121" s="9"/>
      <c r="M121" s="9">
        <f>GFA!L122</f>
        <v>72.7991016</v>
      </c>
      <c r="N121" s="9">
        <f>GFA!N122</f>
        <v>0</v>
      </c>
      <c r="O121" s="97">
        <f t="shared" si="213"/>
        <v>65.51919144</v>
      </c>
      <c r="P121" s="9">
        <f t="shared" si="214"/>
        <v>65.445248795308089</v>
      </c>
      <c r="Q121" s="115">
        <f t="shared" si="215"/>
        <v>0.99887143532960687</v>
      </c>
      <c r="R121" s="116">
        <f t="shared" si="216"/>
        <v>7.3942644691911141E-2</v>
      </c>
      <c r="S121" s="97">
        <f t="shared" ref="S121:S136" si="234">IF(Q121&lt;70%,MIN(R121,(M121+N121/2)*$C121),R121/L$119)</f>
        <v>1.4788528938382228E-2</v>
      </c>
      <c r="T121" s="9"/>
      <c r="U121" s="9">
        <f>GFA!T122</f>
        <v>72.7991016</v>
      </c>
      <c r="V121" s="9">
        <f>GFA!V122</f>
        <v>0</v>
      </c>
      <c r="W121" s="97">
        <f t="shared" si="217"/>
        <v>65.51919144</v>
      </c>
      <c r="X121" s="9">
        <f t="shared" si="218"/>
        <v>65.460037324246471</v>
      </c>
      <c r="Y121" s="115">
        <f t="shared" si="219"/>
        <v>0.99909714826368545</v>
      </c>
      <c r="Z121" s="116">
        <f t="shared" si="220"/>
        <v>5.9154115753528913E-2</v>
      </c>
      <c r="AA121" s="97">
        <f t="shared" ref="AA121:AA136" si="235">IF(Y121&lt;70%,MIN(Z121,(U121+V121/2)*$C121),Z121/T$119)</f>
        <v>1.4788528938382228E-2</v>
      </c>
      <c r="AB121" s="9"/>
      <c r="AC121" s="9">
        <f>GFA!AB122</f>
        <v>72.7991016</v>
      </c>
      <c r="AD121" s="9">
        <f>GFA!AD122</f>
        <v>0</v>
      </c>
      <c r="AE121" s="97">
        <f t="shared" si="221"/>
        <v>65.51919144</v>
      </c>
      <c r="AF121" s="9">
        <f t="shared" si="222"/>
        <v>65.474825853184853</v>
      </c>
      <c r="AG121" s="115">
        <f t="shared" si="223"/>
        <v>0.99932286119776415</v>
      </c>
      <c r="AH121" s="116">
        <f t="shared" si="224"/>
        <v>4.4365586815146685E-2</v>
      </c>
      <c r="AI121" s="97">
        <f t="shared" ref="AI121:AI136" si="236">IF(AG121&lt;70%,MIN(AH121,(AC121+AD121/2)*$C121),AH121/AB$119)</f>
        <v>1.4788528938382228E-2</v>
      </c>
      <c r="AJ121" s="9"/>
      <c r="AK121" s="9">
        <f>GFA!AJ122</f>
        <v>72.7991016</v>
      </c>
      <c r="AL121" s="9">
        <f>GFA!AL122</f>
        <v>0</v>
      </c>
      <c r="AM121" s="97">
        <f t="shared" si="225"/>
        <v>65.51919144</v>
      </c>
      <c r="AN121" s="9">
        <f t="shared" si="226"/>
        <v>65.489614382123236</v>
      </c>
      <c r="AO121" s="115">
        <f t="shared" si="227"/>
        <v>0.99954857413184273</v>
      </c>
      <c r="AP121" s="116">
        <f t="shared" si="228"/>
        <v>2.9577057876764457E-2</v>
      </c>
      <c r="AQ121" s="97">
        <f t="shared" ref="AQ121:AQ136" si="237">IF(AO121&lt;70%,MIN(AP121,(AK121+AL121/2)*$C121),AP121/AJ$119)</f>
        <v>1.4788528938382228E-2</v>
      </c>
      <c r="AR121" s="9"/>
      <c r="AS121" s="9">
        <f>GFA!AR122</f>
        <v>72.7991016</v>
      </c>
      <c r="AT121" s="9">
        <f>GFA!AT122</f>
        <v>0</v>
      </c>
      <c r="AU121" s="97">
        <f t="shared" si="229"/>
        <v>65.51919144</v>
      </c>
      <c r="AV121" s="9">
        <f t="shared" si="230"/>
        <v>65.504402911061618</v>
      </c>
      <c r="AW121" s="115">
        <f t="shared" si="231"/>
        <v>0.99977428706592142</v>
      </c>
      <c r="AX121" s="116">
        <f t="shared" si="232"/>
        <v>1.4788528938382228E-2</v>
      </c>
      <c r="AY121" s="97">
        <f t="shared" ref="AY121:AY136" si="238">IF(AW121&lt;70%,MIN(AX121,(AS121+AT121/2)*$C121),AX121/AR$119)</f>
        <v>1.4788528938382228E-2</v>
      </c>
    </row>
    <row r="122" spans="2:51" ht="31" x14ac:dyDescent="0.35">
      <c r="B122" s="84" t="s">
        <v>135</v>
      </c>
      <c r="C122" s="117">
        <v>5.28E-2</v>
      </c>
      <c r="D122" s="9"/>
      <c r="E122" s="9">
        <f>GFA!D123</f>
        <v>0</v>
      </c>
      <c r="F122" s="9">
        <f>GFA!F123</f>
        <v>0</v>
      </c>
      <c r="G122" s="97">
        <f t="shared" si="210"/>
        <v>0</v>
      </c>
      <c r="H122" s="9">
        <v>0</v>
      </c>
      <c r="I122" s="115">
        <f t="shared" si="211"/>
        <v>0</v>
      </c>
      <c r="J122" s="116">
        <f t="shared" si="212"/>
        <v>0</v>
      </c>
      <c r="K122" s="97">
        <f t="shared" si="233"/>
        <v>0</v>
      </c>
      <c r="L122" s="9"/>
      <c r="M122" s="9">
        <f>GFA!L123</f>
        <v>0</v>
      </c>
      <c r="N122" s="9">
        <f>GFA!N123</f>
        <v>0</v>
      </c>
      <c r="O122" s="97">
        <f t="shared" si="213"/>
        <v>0</v>
      </c>
      <c r="P122" s="9">
        <f t="shared" si="214"/>
        <v>0</v>
      </c>
      <c r="Q122" s="115">
        <f t="shared" si="215"/>
        <v>0</v>
      </c>
      <c r="R122" s="116">
        <f t="shared" si="216"/>
        <v>0</v>
      </c>
      <c r="S122" s="97">
        <f t="shared" si="234"/>
        <v>0</v>
      </c>
      <c r="T122" s="9"/>
      <c r="U122" s="9">
        <f>GFA!T123</f>
        <v>0</v>
      </c>
      <c r="V122" s="9">
        <f>GFA!V123</f>
        <v>0</v>
      </c>
      <c r="W122" s="97">
        <f t="shared" si="217"/>
        <v>0</v>
      </c>
      <c r="X122" s="9">
        <f t="shared" si="218"/>
        <v>0</v>
      </c>
      <c r="Y122" s="115">
        <f t="shared" si="219"/>
        <v>0</v>
      </c>
      <c r="Z122" s="116">
        <f t="shared" si="220"/>
        <v>0</v>
      </c>
      <c r="AA122" s="97">
        <f t="shared" si="235"/>
        <v>0</v>
      </c>
      <c r="AB122" s="9"/>
      <c r="AC122" s="9">
        <f>GFA!AB123</f>
        <v>0</v>
      </c>
      <c r="AD122" s="9">
        <f>GFA!AD123</f>
        <v>0</v>
      </c>
      <c r="AE122" s="97">
        <f t="shared" si="221"/>
        <v>0</v>
      </c>
      <c r="AF122" s="9">
        <f t="shared" si="222"/>
        <v>0</v>
      </c>
      <c r="AG122" s="115">
        <f t="shared" si="223"/>
        <v>0</v>
      </c>
      <c r="AH122" s="116">
        <f t="shared" si="224"/>
        <v>0</v>
      </c>
      <c r="AI122" s="97">
        <f t="shared" si="236"/>
        <v>0</v>
      </c>
      <c r="AJ122" s="9"/>
      <c r="AK122" s="9">
        <f>GFA!AJ123</f>
        <v>0</v>
      </c>
      <c r="AL122" s="9">
        <f>GFA!AL123</f>
        <v>0</v>
      </c>
      <c r="AM122" s="97">
        <f t="shared" si="225"/>
        <v>0</v>
      </c>
      <c r="AN122" s="9">
        <f t="shared" si="226"/>
        <v>0</v>
      </c>
      <c r="AO122" s="115">
        <f t="shared" si="227"/>
        <v>0</v>
      </c>
      <c r="AP122" s="116">
        <f t="shared" si="228"/>
        <v>0</v>
      </c>
      <c r="AQ122" s="97">
        <f t="shared" si="237"/>
        <v>0</v>
      </c>
      <c r="AR122" s="9"/>
      <c r="AS122" s="9">
        <f>GFA!AR123</f>
        <v>0</v>
      </c>
      <c r="AT122" s="9">
        <f>GFA!AT123</f>
        <v>0</v>
      </c>
      <c r="AU122" s="97">
        <f t="shared" si="229"/>
        <v>0</v>
      </c>
      <c r="AV122" s="9">
        <f t="shared" si="230"/>
        <v>0</v>
      </c>
      <c r="AW122" s="115">
        <f t="shared" si="231"/>
        <v>0</v>
      </c>
      <c r="AX122" s="116">
        <f t="shared" si="232"/>
        <v>0</v>
      </c>
      <c r="AY122" s="97">
        <f t="shared" si="238"/>
        <v>0</v>
      </c>
    </row>
    <row r="123" spans="2:51" x14ac:dyDescent="0.35">
      <c r="B123" s="7" t="s">
        <v>136</v>
      </c>
      <c r="C123" s="14">
        <v>5.28E-2</v>
      </c>
      <c r="D123" s="9"/>
      <c r="E123" s="9">
        <f>GFA!D124</f>
        <v>2.1082497000000004</v>
      </c>
      <c r="F123" s="9">
        <f>GFA!F124</f>
        <v>0</v>
      </c>
      <c r="G123" s="97">
        <f t="shared" si="210"/>
        <v>1.8974247300000004</v>
      </c>
      <c r="H123" s="9">
        <v>1.8465213741964162</v>
      </c>
      <c r="I123" s="115">
        <f t="shared" si="211"/>
        <v>0.97317239783019782</v>
      </c>
      <c r="J123" s="116">
        <f t="shared" si="212"/>
        <v>5.0903355803584294E-2</v>
      </c>
      <c r="K123" s="97">
        <f t="shared" si="233"/>
        <v>1.2725838950896073E-2</v>
      </c>
      <c r="L123" s="9"/>
      <c r="M123" s="9">
        <f>GFA!L124</f>
        <v>2.1082497000000004</v>
      </c>
      <c r="N123" s="9">
        <f>GFA!N124</f>
        <v>0</v>
      </c>
      <c r="O123" s="97">
        <f t="shared" si="213"/>
        <v>1.8974247300000004</v>
      </c>
      <c r="P123" s="9">
        <f t="shared" si="214"/>
        <v>1.8592472131473121</v>
      </c>
      <c r="Q123" s="115">
        <f t="shared" si="215"/>
        <v>0.97987929837264831</v>
      </c>
      <c r="R123" s="116">
        <f t="shared" si="216"/>
        <v>3.8177516852688331E-2</v>
      </c>
      <c r="S123" s="97">
        <f t="shared" si="234"/>
        <v>7.6355033705376666E-3</v>
      </c>
      <c r="T123" s="9"/>
      <c r="U123" s="9">
        <f>GFA!T124</f>
        <v>2.1082497000000004</v>
      </c>
      <c r="V123" s="9">
        <f>GFA!V124</f>
        <v>0</v>
      </c>
      <c r="W123" s="97">
        <f t="shared" si="217"/>
        <v>1.8974247300000004</v>
      </c>
      <c r="X123" s="9">
        <f t="shared" si="218"/>
        <v>1.8668827165178499</v>
      </c>
      <c r="Y123" s="115">
        <f t="shared" si="219"/>
        <v>0.98390343869811869</v>
      </c>
      <c r="Z123" s="116">
        <f t="shared" si="220"/>
        <v>3.0542013482150576E-2</v>
      </c>
      <c r="AA123" s="97">
        <f t="shared" si="235"/>
        <v>7.6355033705376441E-3</v>
      </c>
      <c r="AB123" s="9"/>
      <c r="AC123" s="9">
        <f>GFA!AB124</f>
        <v>2.1082497000000004</v>
      </c>
      <c r="AD123" s="9">
        <f>GFA!AD124</f>
        <v>0</v>
      </c>
      <c r="AE123" s="97">
        <f t="shared" si="221"/>
        <v>1.8974247300000004</v>
      </c>
      <c r="AF123" s="9">
        <f t="shared" si="222"/>
        <v>1.8745182198883876</v>
      </c>
      <c r="AG123" s="115">
        <f t="shared" si="223"/>
        <v>0.98792757902358908</v>
      </c>
      <c r="AH123" s="116">
        <f t="shared" si="224"/>
        <v>2.2906510111612821E-2</v>
      </c>
      <c r="AI123" s="97">
        <f t="shared" si="236"/>
        <v>7.6355033705376068E-3</v>
      </c>
      <c r="AJ123" s="9"/>
      <c r="AK123" s="9">
        <f>GFA!AJ124</f>
        <v>2.1082497000000004</v>
      </c>
      <c r="AL123" s="9">
        <f>GFA!AL124</f>
        <v>0</v>
      </c>
      <c r="AM123" s="97">
        <f t="shared" si="225"/>
        <v>1.8974247300000004</v>
      </c>
      <c r="AN123" s="9">
        <f t="shared" si="226"/>
        <v>1.8821537232589252</v>
      </c>
      <c r="AO123" s="115">
        <f t="shared" si="227"/>
        <v>0.99195171934905935</v>
      </c>
      <c r="AP123" s="116">
        <f t="shared" si="228"/>
        <v>1.5271006741075288E-2</v>
      </c>
      <c r="AQ123" s="97">
        <f t="shared" si="237"/>
        <v>7.6355033705376441E-3</v>
      </c>
      <c r="AR123" s="9"/>
      <c r="AS123" s="9">
        <f>GFA!AR124</f>
        <v>2.1082497000000004</v>
      </c>
      <c r="AT123" s="9">
        <f>GFA!AT124</f>
        <v>0</v>
      </c>
      <c r="AU123" s="97">
        <f t="shared" si="229"/>
        <v>1.8974247300000004</v>
      </c>
      <c r="AV123" s="9">
        <f t="shared" si="230"/>
        <v>1.8897892266294627</v>
      </c>
      <c r="AW123" s="115">
        <f t="shared" si="231"/>
        <v>0.99597585967452962</v>
      </c>
      <c r="AX123" s="116">
        <f t="shared" si="232"/>
        <v>7.6355033705377551E-3</v>
      </c>
      <c r="AY123" s="97">
        <f t="shared" si="238"/>
        <v>7.6355033705377551E-3</v>
      </c>
    </row>
    <row r="124" spans="2:51" x14ac:dyDescent="0.35">
      <c r="B124" s="7" t="s">
        <v>137</v>
      </c>
      <c r="C124" s="14">
        <v>3.3399999999999999E-2</v>
      </c>
      <c r="D124" s="9"/>
      <c r="E124" s="9">
        <f>GFA!D125</f>
        <v>21.239980064000001</v>
      </c>
      <c r="F124" s="9">
        <f>GFA!F125</f>
        <v>0.13698650423030875</v>
      </c>
      <c r="G124" s="97">
        <f t="shared" si="210"/>
        <v>19.239269911407277</v>
      </c>
      <c r="H124" s="9">
        <v>4.7103801709376603</v>
      </c>
      <c r="I124" s="115">
        <f t="shared" si="211"/>
        <v>0.24483154468064294</v>
      </c>
      <c r="J124" s="116">
        <f t="shared" si="212"/>
        <v>14.528889740469616</v>
      </c>
      <c r="K124" s="97">
        <f t="shared" si="233"/>
        <v>0.7117030087582461</v>
      </c>
      <c r="L124" s="9"/>
      <c r="M124" s="9">
        <f>GFA!L125</f>
        <v>21.376966568230308</v>
      </c>
      <c r="N124" s="9">
        <f>GFA!N125</f>
        <v>0</v>
      </c>
      <c r="O124" s="97">
        <f t="shared" si="213"/>
        <v>19.239269911407277</v>
      </c>
      <c r="P124" s="9">
        <f t="shared" si="214"/>
        <v>5.4220831796959068</v>
      </c>
      <c r="Q124" s="115">
        <f t="shared" si="215"/>
        <v>0.28182374927237053</v>
      </c>
      <c r="R124" s="116">
        <f t="shared" si="216"/>
        <v>13.81718673171137</v>
      </c>
      <c r="S124" s="97">
        <f t="shared" si="234"/>
        <v>0.71399068337889227</v>
      </c>
      <c r="T124" s="9"/>
      <c r="U124" s="9">
        <f>GFA!T125</f>
        <v>21.376966568230308</v>
      </c>
      <c r="V124" s="9">
        <f>GFA!V125</f>
        <v>0</v>
      </c>
      <c r="W124" s="97">
        <f t="shared" si="217"/>
        <v>19.239269911407277</v>
      </c>
      <c r="X124" s="9">
        <f t="shared" si="218"/>
        <v>6.1360738630747989</v>
      </c>
      <c r="Y124" s="115">
        <f t="shared" si="219"/>
        <v>0.31893486038348162</v>
      </c>
      <c r="Z124" s="116">
        <f t="shared" si="220"/>
        <v>13.103196048332478</v>
      </c>
      <c r="AA124" s="97">
        <f t="shared" si="235"/>
        <v>0.71399068337889227</v>
      </c>
      <c r="AB124" s="9"/>
      <c r="AC124" s="9">
        <f>GFA!AB125</f>
        <v>21.376966568230308</v>
      </c>
      <c r="AD124" s="9">
        <f>GFA!AD125</f>
        <v>0</v>
      </c>
      <c r="AE124" s="97">
        <f t="shared" si="221"/>
        <v>19.239269911407277</v>
      </c>
      <c r="AF124" s="9">
        <f t="shared" si="222"/>
        <v>6.8500645464536909</v>
      </c>
      <c r="AG124" s="115">
        <f t="shared" si="223"/>
        <v>0.35604597149459272</v>
      </c>
      <c r="AH124" s="116">
        <f t="shared" si="224"/>
        <v>12.389205364953586</v>
      </c>
      <c r="AI124" s="97">
        <f t="shared" si="236"/>
        <v>0.71399068337889227</v>
      </c>
      <c r="AJ124" s="9"/>
      <c r="AK124" s="9">
        <f>GFA!AJ125</f>
        <v>21.376966568230308</v>
      </c>
      <c r="AL124" s="9">
        <f>GFA!AL125</f>
        <v>0</v>
      </c>
      <c r="AM124" s="97">
        <f t="shared" si="225"/>
        <v>19.239269911407277</v>
      </c>
      <c r="AN124" s="9">
        <f t="shared" si="226"/>
        <v>7.5640552298325829</v>
      </c>
      <c r="AO124" s="115">
        <f t="shared" si="227"/>
        <v>0.39315708260570381</v>
      </c>
      <c r="AP124" s="116">
        <f t="shared" si="228"/>
        <v>11.675214681574694</v>
      </c>
      <c r="AQ124" s="97">
        <f t="shared" si="237"/>
        <v>0.71399068337889227</v>
      </c>
      <c r="AR124" s="9"/>
      <c r="AS124" s="9">
        <f>GFA!AR125</f>
        <v>21.376966568230308</v>
      </c>
      <c r="AT124" s="9">
        <f>GFA!AT125</f>
        <v>0</v>
      </c>
      <c r="AU124" s="97">
        <f t="shared" si="229"/>
        <v>19.239269911407277</v>
      </c>
      <c r="AV124" s="9">
        <f t="shared" si="230"/>
        <v>8.278045913211475</v>
      </c>
      <c r="AW124" s="115">
        <f t="shared" si="231"/>
        <v>0.43026819371681491</v>
      </c>
      <c r="AX124" s="116">
        <f t="shared" si="232"/>
        <v>10.961223998195802</v>
      </c>
      <c r="AY124" s="97">
        <f t="shared" si="238"/>
        <v>0.71399068337889227</v>
      </c>
    </row>
    <row r="125" spans="2:51" x14ac:dyDescent="0.35">
      <c r="B125" s="7" t="s">
        <v>138</v>
      </c>
      <c r="C125" s="14">
        <v>5.28E-2</v>
      </c>
      <c r="D125" s="9"/>
      <c r="E125" s="9">
        <f>GFA!D126</f>
        <v>1541.9133028477711</v>
      </c>
      <c r="F125" s="9">
        <f>GFA!F126</f>
        <v>0.30988340956957405</v>
      </c>
      <c r="G125" s="97">
        <f t="shared" si="210"/>
        <v>1388.0008676316065</v>
      </c>
      <c r="H125" s="9">
        <v>1375.7287783197921</v>
      </c>
      <c r="I125" s="115">
        <f t="shared" si="211"/>
        <v>0.99115844262204633</v>
      </c>
      <c r="J125" s="116">
        <f t="shared" si="212"/>
        <v>12.272089311814398</v>
      </c>
      <c r="K125" s="97">
        <f t="shared" si="233"/>
        <v>3.0680223279535994</v>
      </c>
      <c r="L125" s="9"/>
      <c r="M125" s="9">
        <f>GFA!L126</f>
        <v>1541.9273320573407</v>
      </c>
      <c r="N125" s="9">
        <f>GFA!N126</f>
        <v>7.6977893198095941</v>
      </c>
      <c r="O125" s="97">
        <f t="shared" si="213"/>
        <v>1394.6626092394351</v>
      </c>
      <c r="P125" s="9">
        <f t="shared" si="214"/>
        <v>1378.7968006477458</v>
      </c>
      <c r="Q125" s="115">
        <f t="shared" si="215"/>
        <v>0.9886239091185347</v>
      </c>
      <c r="R125" s="116">
        <f t="shared" si="216"/>
        <v>15.865808591689301</v>
      </c>
      <c r="S125" s="97">
        <f t="shared" si="234"/>
        <v>3.1731617183378602</v>
      </c>
      <c r="T125" s="9"/>
      <c r="U125" s="9">
        <f>GFA!T126</f>
        <v>1549.6251213771502</v>
      </c>
      <c r="V125" s="9">
        <f>GFA!V126</f>
        <v>0</v>
      </c>
      <c r="W125" s="97">
        <f t="shared" si="217"/>
        <v>1394.6626092394351</v>
      </c>
      <c r="X125" s="9">
        <f t="shared" si="218"/>
        <v>1381.9699623660838</v>
      </c>
      <c r="Y125" s="115">
        <f t="shared" si="219"/>
        <v>0.99089912729482788</v>
      </c>
      <c r="Z125" s="116">
        <f t="shared" si="220"/>
        <v>12.69264687335135</v>
      </c>
      <c r="AA125" s="97">
        <f t="shared" si="235"/>
        <v>3.1731617183378376</v>
      </c>
      <c r="AB125" s="9"/>
      <c r="AC125" s="9">
        <f>GFA!AB126</f>
        <v>1549.6251213771502</v>
      </c>
      <c r="AD125" s="9">
        <f>GFA!AD126</f>
        <v>34.549999999999997</v>
      </c>
      <c r="AE125" s="97">
        <f t="shared" si="221"/>
        <v>1425.7576092394352</v>
      </c>
      <c r="AF125" s="9">
        <f t="shared" si="222"/>
        <v>1385.1431240844217</v>
      </c>
      <c r="AG125" s="115">
        <f t="shared" si="223"/>
        <v>0.97151375178233901</v>
      </c>
      <c r="AH125" s="116">
        <f t="shared" si="224"/>
        <v>40.614485155013426</v>
      </c>
      <c r="AI125" s="97">
        <f t="shared" si="236"/>
        <v>13.538161718337809</v>
      </c>
      <c r="AJ125" s="9"/>
      <c r="AK125" s="9">
        <f>GFA!AJ126</f>
        <v>1584.1751213771502</v>
      </c>
      <c r="AL125" s="9">
        <f>GFA!AL126</f>
        <v>114.04999999999998</v>
      </c>
      <c r="AM125" s="97">
        <f t="shared" si="225"/>
        <v>1528.4026092394352</v>
      </c>
      <c r="AN125" s="9">
        <f t="shared" si="226"/>
        <v>1398.6812858027595</v>
      </c>
      <c r="AO125" s="115">
        <f t="shared" si="227"/>
        <v>0.91512620912023457</v>
      </c>
      <c r="AP125" s="116">
        <f t="shared" si="228"/>
        <v>129.72132343667568</v>
      </c>
      <c r="AQ125" s="97">
        <f t="shared" si="237"/>
        <v>64.860661718337838</v>
      </c>
      <c r="AR125" s="9"/>
      <c r="AS125" s="9">
        <f>GFA!AR126</f>
        <v>1698.2251213771501</v>
      </c>
      <c r="AT125" s="9">
        <f>GFA!AT126</f>
        <v>8.5</v>
      </c>
      <c r="AU125" s="97">
        <f t="shared" si="229"/>
        <v>1536.0526092394352</v>
      </c>
      <c r="AV125" s="9">
        <f t="shared" si="230"/>
        <v>1463.5419475210974</v>
      </c>
      <c r="AW125" s="115">
        <f t="shared" si="231"/>
        <v>0.95279415478208074</v>
      </c>
      <c r="AX125" s="116">
        <f t="shared" si="232"/>
        <v>72.510661718337815</v>
      </c>
      <c r="AY125" s="97">
        <f t="shared" si="238"/>
        <v>72.510661718337815</v>
      </c>
    </row>
    <row r="126" spans="2:51" x14ac:dyDescent="0.35">
      <c r="B126" s="7" t="s">
        <v>139</v>
      </c>
      <c r="C126" s="14">
        <v>0.18</v>
      </c>
      <c r="D126" s="9"/>
      <c r="E126" s="9">
        <f>GFA!D127</f>
        <v>0</v>
      </c>
      <c r="F126" s="9">
        <f>GFA!F127</f>
        <v>0</v>
      </c>
      <c r="G126" s="97">
        <f t="shared" si="210"/>
        <v>0</v>
      </c>
      <c r="H126" s="9">
        <v>0</v>
      </c>
      <c r="I126" s="115">
        <f t="shared" si="211"/>
        <v>0</v>
      </c>
      <c r="J126" s="116">
        <f t="shared" si="212"/>
        <v>0</v>
      </c>
      <c r="K126" s="97">
        <f t="shared" si="233"/>
        <v>0</v>
      </c>
      <c r="L126" s="9"/>
      <c r="M126" s="9">
        <f>GFA!L127</f>
        <v>0</v>
      </c>
      <c r="N126" s="9">
        <f>GFA!N127</f>
        <v>0</v>
      </c>
      <c r="O126" s="97">
        <f t="shared" si="213"/>
        <v>0</v>
      </c>
      <c r="P126" s="9">
        <f t="shared" si="214"/>
        <v>0</v>
      </c>
      <c r="Q126" s="115">
        <f t="shared" si="215"/>
        <v>0</v>
      </c>
      <c r="R126" s="116">
        <f t="shared" si="216"/>
        <v>0</v>
      </c>
      <c r="S126" s="97">
        <f t="shared" si="234"/>
        <v>0</v>
      </c>
      <c r="T126" s="9"/>
      <c r="U126" s="9">
        <f>GFA!T127</f>
        <v>0</v>
      </c>
      <c r="V126" s="9">
        <f>GFA!V127</f>
        <v>0</v>
      </c>
      <c r="W126" s="97">
        <f t="shared" si="217"/>
        <v>0</v>
      </c>
      <c r="X126" s="9">
        <f t="shared" si="218"/>
        <v>0</v>
      </c>
      <c r="Y126" s="115">
        <f t="shared" si="219"/>
        <v>0</v>
      </c>
      <c r="Z126" s="116">
        <f t="shared" si="220"/>
        <v>0</v>
      </c>
      <c r="AA126" s="97">
        <f t="shared" si="235"/>
        <v>0</v>
      </c>
      <c r="AB126" s="9"/>
      <c r="AC126" s="9">
        <f>GFA!AB127</f>
        <v>0</v>
      </c>
      <c r="AD126" s="9">
        <f>GFA!AD127</f>
        <v>0</v>
      </c>
      <c r="AE126" s="97">
        <f t="shared" si="221"/>
        <v>0</v>
      </c>
      <c r="AF126" s="9">
        <f t="shared" si="222"/>
        <v>0</v>
      </c>
      <c r="AG126" s="115">
        <f t="shared" si="223"/>
        <v>0</v>
      </c>
      <c r="AH126" s="116">
        <f t="shared" si="224"/>
        <v>0</v>
      </c>
      <c r="AI126" s="97">
        <f t="shared" si="236"/>
        <v>0</v>
      </c>
      <c r="AJ126" s="9"/>
      <c r="AK126" s="9">
        <f>GFA!AJ127</f>
        <v>0</v>
      </c>
      <c r="AL126" s="9">
        <f>GFA!AL127</f>
        <v>0</v>
      </c>
      <c r="AM126" s="97">
        <f t="shared" si="225"/>
        <v>0</v>
      </c>
      <c r="AN126" s="9">
        <f t="shared" si="226"/>
        <v>0</v>
      </c>
      <c r="AO126" s="115">
        <f t="shared" si="227"/>
        <v>0</v>
      </c>
      <c r="AP126" s="116">
        <f t="shared" si="228"/>
        <v>0</v>
      </c>
      <c r="AQ126" s="97">
        <f t="shared" si="237"/>
        <v>0</v>
      </c>
      <c r="AR126" s="9"/>
      <c r="AS126" s="9">
        <f>GFA!AR127</f>
        <v>0</v>
      </c>
      <c r="AT126" s="9">
        <f>GFA!AT127</f>
        <v>0</v>
      </c>
      <c r="AU126" s="97">
        <f t="shared" si="229"/>
        <v>0</v>
      </c>
      <c r="AV126" s="9">
        <f t="shared" si="230"/>
        <v>0</v>
      </c>
      <c r="AW126" s="115">
        <f t="shared" si="231"/>
        <v>0</v>
      </c>
      <c r="AX126" s="116">
        <f t="shared" si="232"/>
        <v>0</v>
      </c>
      <c r="AY126" s="97">
        <f t="shared" si="238"/>
        <v>0</v>
      </c>
    </row>
    <row r="127" spans="2:51" x14ac:dyDescent="0.35">
      <c r="B127" s="7" t="s">
        <v>140</v>
      </c>
      <c r="C127" s="14">
        <v>5.28E-2</v>
      </c>
      <c r="D127" s="9"/>
      <c r="E127" s="9">
        <f>GFA!D128</f>
        <v>0</v>
      </c>
      <c r="F127" s="9">
        <f>GFA!F128</f>
        <v>0</v>
      </c>
      <c r="G127" s="97">
        <f t="shared" si="210"/>
        <v>0</v>
      </c>
      <c r="H127" s="9">
        <v>0</v>
      </c>
      <c r="I127" s="115">
        <f t="shared" si="211"/>
        <v>0</v>
      </c>
      <c r="J127" s="116">
        <f t="shared" si="212"/>
        <v>0</v>
      </c>
      <c r="K127" s="97">
        <f t="shared" si="233"/>
        <v>0</v>
      </c>
      <c r="L127" s="9"/>
      <c r="M127" s="9">
        <f>GFA!L128</f>
        <v>0</v>
      </c>
      <c r="N127" s="9">
        <f>GFA!N128</f>
        <v>0</v>
      </c>
      <c r="O127" s="97">
        <f t="shared" si="213"/>
        <v>0</v>
      </c>
      <c r="P127" s="9">
        <f t="shared" si="214"/>
        <v>0</v>
      </c>
      <c r="Q127" s="115">
        <f t="shared" si="215"/>
        <v>0</v>
      </c>
      <c r="R127" s="116">
        <f t="shared" si="216"/>
        <v>0</v>
      </c>
      <c r="S127" s="97">
        <f t="shared" si="234"/>
        <v>0</v>
      </c>
      <c r="T127" s="9"/>
      <c r="U127" s="9">
        <f>GFA!T128</f>
        <v>0</v>
      </c>
      <c r="V127" s="9">
        <f>GFA!V128</f>
        <v>0</v>
      </c>
      <c r="W127" s="97">
        <f t="shared" si="217"/>
        <v>0</v>
      </c>
      <c r="X127" s="9">
        <f t="shared" si="218"/>
        <v>0</v>
      </c>
      <c r="Y127" s="115">
        <f t="shared" si="219"/>
        <v>0</v>
      </c>
      <c r="Z127" s="116">
        <f t="shared" si="220"/>
        <v>0</v>
      </c>
      <c r="AA127" s="97">
        <f t="shared" si="235"/>
        <v>0</v>
      </c>
      <c r="AB127" s="9"/>
      <c r="AC127" s="9">
        <f>GFA!AB128</f>
        <v>0</v>
      </c>
      <c r="AD127" s="9">
        <f>GFA!AD128</f>
        <v>0</v>
      </c>
      <c r="AE127" s="97">
        <f t="shared" si="221"/>
        <v>0</v>
      </c>
      <c r="AF127" s="9">
        <f t="shared" si="222"/>
        <v>0</v>
      </c>
      <c r="AG127" s="115">
        <f t="shared" si="223"/>
        <v>0</v>
      </c>
      <c r="AH127" s="116">
        <f t="shared" si="224"/>
        <v>0</v>
      </c>
      <c r="AI127" s="97">
        <f t="shared" si="236"/>
        <v>0</v>
      </c>
      <c r="AJ127" s="9"/>
      <c r="AK127" s="9">
        <f>GFA!AJ128</f>
        <v>0</v>
      </c>
      <c r="AL127" s="9">
        <f>GFA!AL128</f>
        <v>0</v>
      </c>
      <c r="AM127" s="97">
        <f t="shared" si="225"/>
        <v>0</v>
      </c>
      <c r="AN127" s="9">
        <f t="shared" si="226"/>
        <v>0</v>
      </c>
      <c r="AO127" s="115">
        <f t="shared" si="227"/>
        <v>0</v>
      </c>
      <c r="AP127" s="116">
        <f t="shared" si="228"/>
        <v>0</v>
      </c>
      <c r="AQ127" s="97">
        <f t="shared" si="237"/>
        <v>0</v>
      </c>
      <c r="AR127" s="9"/>
      <c r="AS127" s="9">
        <f>GFA!AR128</f>
        <v>0</v>
      </c>
      <c r="AT127" s="9">
        <f>GFA!AT128</f>
        <v>0</v>
      </c>
      <c r="AU127" s="97">
        <f t="shared" si="229"/>
        <v>0</v>
      </c>
      <c r="AV127" s="9">
        <f t="shared" si="230"/>
        <v>0</v>
      </c>
      <c r="AW127" s="115">
        <f t="shared" si="231"/>
        <v>0</v>
      </c>
      <c r="AX127" s="116">
        <f t="shared" si="232"/>
        <v>0</v>
      </c>
      <c r="AY127" s="97">
        <f t="shared" si="238"/>
        <v>0</v>
      </c>
    </row>
    <row r="128" spans="2:51" x14ac:dyDescent="0.35">
      <c r="B128" s="7" t="s">
        <v>141</v>
      </c>
      <c r="C128" s="14">
        <v>5.28E-2</v>
      </c>
      <c r="D128" s="9"/>
      <c r="E128" s="9">
        <f>GFA!D129</f>
        <v>0.8</v>
      </c>
      <c r="F128" s="9">
        <f>GFA!F129</f>
        <v>0</v>
      </c>
      <c r="G128" s="97">
        <f t="shared" si="210"/>
        <v>0.72000000000000008</v>
      </c>
      <c r="H128" s="9">
        <v>0.72000000000000008</v>
      </c>
      <c r="I128" s="115">
        <f t="shared" si="211"/>
        <v>1</v>
      </c>
      <c r="J128" s="116">
        <f t="shared" si="212"/>
        <v>0</v>
      </c>
      <c r="K128" s="97">
        <f t="shared" si="233"/>
        <v>0</v>
      </c>
      <c r="L128" s="9"/>
      <c r="M128" s="9">
        <f>GFA!L129</f>
        <v>0.8</v>
      </c>
      <c r="N128" s="9">
        <f>GFA!N129</f>
        <v>0</v>
      </c>
      <c r="O128" s="97">
        <f t="shared" si="213"/>
        <v>0.72000000000000008</v>
      </c>
      <c r="P128" s="9">
        <f t="shared" si="214"/>
        <v>0.72000000000000008</v>
      </c>
      <c r="Q128" s="115">
        <f t="shared" si="215"/>
        <v>1</v>
      </c>
      <c r="R128" s="116">
        <f t="shared" si="216"/>
        <v>0</v>
      </c>
      <c r="S128" s="97">
        <f t="shared" si="234"/>
        <v>0</v>
      </c>
      <c r="T128" s="9"/>
      <c r="U128" s="9">
        <f>GFA!T129</f>
        <v>0.8</v>
      </c>
      <c r="V128" s="9">
        <f>GFA!V129</f>
        <v>0</v>
      </c>
      <c r="W128" s="97">
        <f t="shared" si="217"/>
        <v>0.72000000000000008</v>
      </c>
      <c r="X128" s="9">
        <f t="shared" si="218"/>
        <v>0.72000000000000008</v>
      </c>
      <c r="Y128" s="115">
        <f t="shared" si="219"/>
        <v>1</v>
      </c>
      <c r="Z128" s="116">
        <f t="shared" si="220"/>
        <v>0</v>
      </c>
      <c r="AA128" s="97">
        <f t="shared" si="235"/>
        <v>0</v>
      </c>
      <c r="AB128" s="9"/>
      <c r="AC128" s="9">
        <f>GFA!AB129</f>
        <v>0.8</v>
      </c>
      <c r="AD128" s="9">
        <f>GFA!AD129</f>
        <v>0</v>
      </c>
      <c r="AE128" s="97">
        <f t="shared" si="221"/>
        <v>0.72000000000000008</v>
      </c>
      <c r="AF128" s="9">
        <f t="shared" si="222"/>
        <v>0.72000000000000008</v>
      </c>
      <c r="AG128" s="115">
        <f t="shared" si="223"/>
        <v>1</v>
      </c>
      <c r="AH128" s="116">
        <f t="shared" si="224"/>
        <v>0</v>
      </c>
      <c r="AI128" s="97">
        <f t="shared" si="236"/>
        <v>0</v>
      </c>
      <c r="AJ128" s="9"/>
      <c r="AK128" s="9">
        <f>GFA!AJ129</f>
        <v>0.8</v>
      </c>
      <c r="AL128" s="9">
        <f>GFA!AL129</f>
        <v>0</v>
      </c>
      <c r="AM128" s="97">
        <f t="shared" si="225"/>
        <v>0.72000000000000008</v>
      </c>
      <c r="AN128" s="9">
        <f t="shared" si="226"/>
        <v>0.72000000000000008</v>
      </c>
      <c r="AO128" s="115">
        <f t="shared" si="227"/>
        <v>1</v>
      </c>
      <c r="AP128" s="116">
        <f t="shared" si="228"/>
        <v>0</v>
      </c>
      <c r="AQ128" s="97">
        <f t="shared" si="237"/>
        <v>0</v>
      </c>
      <c r="AR128" s="9"/>
      <c r="AS128" s="9">
        <f>GFA!AR129</f>
        <v>0.8</v>
      </c>
      <c r="AT128" s="9">
        <f>GFA!AT129</f>
        <v>0</v>
      </c>
      <c r="AU128" s="97">
        <f t="shared" si="229"/>
        <v>0.72000000000000008</v>
      </c>
      <c r="AV128" s="9">
        <f t="shared" si="230"/>
        <v>0.72000000000000008</v>
      </c>
      <c r="AW128" s="115">
        <f t="shared" si="231"/>
        <v>1</v>
      </c>
      <c r="AX128" s="116">
        <f t="shared" si="232"/>
        <v>0</v>
      </c>
      <c r="AY128" s="97">
        <f t="shared" si="238"/>
        <v>0</v>
      </c>
    </row>
    <row r="129" spans="2:51" x14ac:dyDescent="0.35">
      <c r="B129" s="7" t="s">
        <v>142</v>
      </c>
      <c r="C129" s="14">
        <v>9.5000000000000001E-2</v>
      </c>
      <c r="D129" s="9"/>
      <c r="E129" s="9">
        <f>GFA!D130</f>
        <v>0.97449094700000005</v>
      </c>
      <c r="F129" s="9">
        <f>GFA!F130</f>
        <v>0.10754480332111345</v>
      </c>
      <c r="G129" s="97">
        <f t="shared" si="210"/>
        <v>0.97383217528900223</v>
      </c>
      <c r="H129" s="9">
        <v>0.82968221743333337</v>
      </c>
      <c r="I129" s="115">
        <f t="shared" si="211"/>
        <v>0.85197659153858851</v>
      </c>
      <c r="J129" s="116">
        <f t="shared" si="212"/>
        <v>0.14414995785566886</v>
      </c>
      <c r="K129" s="97">
        <f t="shared" si="233"/>
        <v>3.6037489463917216E-2</v>
      </c>
      <c r="L129" s="9"/>
      <c r="M129" s="9">
        <f>GFA!L130</f>
        <v>1.0615849503211134</v>
      </c>
      <c r="N129" s="9">
        <f>GFA!N130</f>
        <v>0.39211961250227551</v>
      </c>
      <c r="O129" s="97">
        <f t="shared" si="213"/>
        <v>1.3083341065410501</v>
      </c>
      <c r="P129" s="9">
        <f t="shared" si="214"/>
        <v>0.86571970689725064</v>
      </c>
      <c r="Q129" s="115">
        <f t="shared" si="215"/>
        <v>0.66169620020533182</v>
      </c>
      <c r="R129" s="116">
        <f t="shared" si="216"/>
        <v>0.44261439964379945</v>
      </c>
      <c r="S129" s="97">
        <f t="shared" si="234"/>
        <v>0.11947625187436388</v>
      </c>
      <c r="T129" s="9"/>
      <c r="U129" s="9">
        <f>GFA!T130</f>
        <v>1.4537045628233889</v>
      </c>
      <c r="V129" s="9">
        <f>GFA!V130</f>
        <v>0</v>
      </c>
      <c r="W129" s="97">
        <f t="shared" si="217"/>
        <v>1.3083341065410501</v>
      </c>
      <c r="X129" s="9">
        <f t="shared" si="218"/>
        <v>0.98519595877161448</v>
      </c>
      <c r="Y129" s="115">
        <f t="shared" si="219"/>
        <v>0.75301557442101519</v>
      </c>
      <c r="Z129" s="116">
        <f t="shared" si="220"/>
        <v>0.32313814776943561</v>
      </c>
      <c r="AA129" s="97">
        <f t="shared" si="235"/>
        <v>8.0784536942358903E-2</v>
      </c>
      <c r="AB129" s="9"/>
      <c r="AC129" s="9">
        <f>GFA!AB130</f>
        <v>1.4537045628233889</v>
      </c>
      <c r="AD129" s="9">
        <f>GFA!AD130</f>
        <v>0</v>
      </c>
      <c r="AE129" s="97">
        <f t="shared" si="221"/>
        <v>1.3083341065410501</v>
      </c>
      <c r="AF129" s="9">
        <f t="shared" si="222"/>
        <v>1.0659804957139734</v>
      </c>
      <c r="AG129" s="115">
        <f t="shared" si="223"/>
        <v>0.81476168081576139</v>
      </c>
      <c r="AH129" s="116">
        <f t="shared" si="224"/>
        <v>0.24235361082707674</v>
      </c>
      <c r="AI129" s="97">
        <f t="shared" si="236"/>
        <v>8.0784536942358917E-2</v>
      </c>
      <c r="AJ129" s="9"/>
      <c r="AK129" s="9">
        <f>GFA!AJ130</f>
        <v>1.4537045628233889</v>
      </c>
      <c r="AL129" s="9">
        <f>GFA!AL130</f>
        <v>0</v>
      </c>
      <c r="AM129" s="97">
        <f t="shared" si="225"/>
        <v>1.3083341065410501</v>
      </c>
      <c r="AN129" s="9">
        <f t="shared" si="226"/>
        <v>1.1467650326563323</v>
      </c>
      <c r="AO129" s="115">
        <f t="shared" si="227"/>
        <v>0.87650778721050759</v>
      </c>
      <c r="AP129" s="116">
        <f t="shared" si="228"/>
        <v>0.16156907388471775</v>
      </c>
      <c r="AQ129" s="97">
        <f t="shared" si="237"/>
        <v>8.0784536942358875E-2</v>
      </c>
      <c r="AR129" s="9"/>
      <c r="AS129" s="9">
        <f>GFA!AR130</f>
        <v>1.4537045628233889</v>
      </c>
      <c r="AT129" s="9">
        <f>GFA!AT130</f>
        <v>0</v>
      </c>
      <c r="AU129" s="97">
        <f t="shared" si="229"/>
        <v>1.3083341065410501</v>
      </c>
      <c r="AV129" s="9">
        <f t="shared" si="230"/>
        <v>1.2275495695986911</v>
      </c>
      <c r="AW129" s="115">
        <f t="shared" si="231"/>
        <v>0.93825389360525369</v>
      </c>
      <c r="AX129" s="116">
        <f t="shared" si="232"/>
        <v>8.0784536942358987E-2</v>
      </c>
      <c r="AY129" s="97">
        <f t="shared" si="238"/>
        <v>8.0784536942358987E-2</v>
      </c>
    </row>
    <row r="130" spans="2:51" x14ac:dyDescent="0.35">
      <c r="B130" s="7" t="s">
        <v>143</v>
      </c>
      <c r="C130" s="14">
        <v>6.3299999999999995E-2</v>
      </c>
      <c r="D130" s="9"/>
      <c r="E130" s="9">
        <f>GFA!D131</f>
        <v>0.73246109200000009</v>
      </c>
      <c r="F130" s="9">
        <f>GFA!F131</f>
        <v>0.15563860480630812</v>
      </c>
      <c r="G130" s="97">
        <f t="shared" si="210"/>
        <v>0.79928972712567736</v>
      </c>
      <c r="H130" s="9">
        <v>0.58105338360000014</v>
      </c>
      <c r="I130" s="115">
        <f t="shared" si="211"/>
        <v>0.72696215637541584</v>
      </c>
      <c r="J130" s="116">
        <f t="shared" si="212"/>
        <v>0.21823634352567722</v>
      </c>
      <c r="K130" s="97">
        <f t="shared" si="233"/>
        <v>5.4559085881419306E-2</v>
      </c>
      <c r="L130" s="9"/>
      <c r="M130" s="9">
        <f>GFA!L131</f>
        <v>0.74551759680630814</v>
      </c>
      <c r="N130" s="9">
        <f>GFA!N131</f>
        <v>0</v>
      </c>
      <c r="O130" s="97">
        <f t="shared" si="213"/>
        <v>0.67096583712567737</v>
      </c>
      <c r="P130" s="9">
        <f t="shared" si="214"/>
        <v>0.63561246948141947</v>
      </c>
      <c r="Q130" s="115">
        <f t="shared" si="215"/>
        <v>0.9473097351786095</v>
      </c>
      <c r="R130" s="116">
        <f t="shared" si="216"/>
        <v>3.5353367644257894E-2</v>
      </c>
      <c r="S130" s="97">
        <f t="shared" si="234"/>
        <v>7.0706735288515784E-3</v>
      </c>
      <c r="T130" s="9"/>
      <c r="U130" s="9">
        <f>GFA!T131</f>
        <v>0.74551759680630814</v>
      </c>
      <c r="V130" s="9">
        <f>GFA!V131</f>
        <v>1.7418310616961516E-2</v>
      </c>
      <c r="W130" s="97">
        <f t="shared" si="217"/>
        <v>0.68664231668094267</v>
      </c>
      <c r="X130" s="9">
        <f t="shared" si="218"/>
        <v>0.64268314301027107</v>
      </c>
      <c r="Y130" s="115">
        <f t="shared" si="219"/>
        <v>0.93597951567686766</v>
      </c>
      <c r="Z130" s="116">
        <f t="shared" si="220"/>
        <v>4.3959173670671592E-2</v>
      </c>
      <c r="AA130" s="97">
        <f t="shared" si="235"/>
        <v>1.0989793417667898E-2</v>
      </c>
      <c r="AB130" s="9"/>
      <c r="AC130" s="9">
        <f>GFA!AB131</f>
        <v>0.76293590742326967</v>
      </c>
      <c r="AD130" s="9">
        <f>GFA!AD131</f>
        <v>0</v>
      </c>
      <c r="AE130" s="97">
        <f t="shared" si="221"/>
        <v>0.68664231668094267</v>
      </c>
      <c r="AF130" s="9">
        <f t="shared" si="222"/>
        <v>0.653672936427939</v>
      </c>
      <c r="AG130" s="115">
        <f t="shared" si="223"/>
        <v>0.95198463675765077</v>
      </c>
      <c r="AH130" s="116">
        <f t="shared" si="224"/>
        <v>3.2969380253003666E-2</v>
      </c>
      <c r="AI130" s="97">
        <f t="shared" si="236"/>
        <v>1.0989793417667889E-2</v>
      </c>
      <c r="AJ130" s="9"/>
      <c r="AK130" s="9">
        <f>GFA!AJ131</f>
        <v>0.76293590742326967</v>
      </c>
      <c r="AL130" s="9">
        <f>GFA!AL131</f>
        <v>0</v>
      </c>
      <c r="AM130" s="97">
        <f t="shared" si="225"/>
        <v>0.68664231668094267</v>
      </c>
      <c r="AN130" s="9">
        <f t="shared" si="226"/>
        <v>0.66466272984560693</v>
      </c>
      <c r="AO130" s="115">
        <f t="shared" si="227"/>
        <v>0.96798975783843388</v>
      </c>
      <c r="AP130" s="116">
        <f t="shared" si="228"/>
        <v>2.197958683533574E-2</v>
      </c>
      <c r="AQ130" s="97">
        <f t="shared" si="237"/>
        <v>1.098979341766787E-2</v>
      </c>
      <c r="AR130" s="9"/>
      <c r="AS130" s="9">
        <f>GFA!AR131</f>
        <v>0.76293590742326967</v>
      </c>
      <c r="AT130" s="9">
        <f>GFA!AT131</f>
        <v>0</v>
      </c>
      <c r="AU130" s="97">
        <f t="shared" si="229"/>
        <v>0.68664231668094267</v>
      </c>
      <c r="AV130" s="9">
        <f t="shared" si="230"/>
        <v>0.67565252326327485</v>
      </c>
      <c r="AW130" s="115">
        <f t="shared" si="231"/>
        <v>0.983994878919217</v>
      </c>
      <c r="AX130" s="116">
        <f t="shared" si="232"/>
        <v>1.0989793417667815E-2</v>
      </c>
      <c r="AY130" s="97">
        <f t="shared" si="238"/>
        <v>1.0989793417667815E-2</v>
      </c>
    </row>
    <row r="131" spans="2:51" x14ac:dyDescent="0.35">
      <c r="B131" s="7" t="s">
        <v>144</v>
      </c>
      <c r="C131" s="14">
        <v>6.3299999999999995E-2</v>
      </c>
      <c r="D131" s="9"/>
      <c r="E131" s="9">
        <f>GFA!D132</f>
        <v>1.5368732472289179</v>
      </c>
      <c r="F131" s="9">
        <f>GFA!F132</f>
        <v>0.16426480507269561</v>
      </c>
      <c r="G131" s="97">
        <f t="shared" si="210"/>
        <v>1.5310242470714521</v>
      </c>
      <c r="H131" s="9">
        <v>0.93096476340115364</v>
      </c>
      <c r="I131" s="115">
        <f t="shared" si="211"/>
        <v>0.60806663590201515</v>
      </c>
      <c r="J131" s="116">
        <f t="shared" si="212"/>
        <v>0.60005948367029849</v>
      </c>
      <c r="K131" s="97">
        <f t="shared" si="233"/>
        <v>0.10248305763014132</v>
      </c>
      <c r="L131" s="9"/>
      <c r="M131" s="9">
        <f>GFA!L132</f>
        <v>1.3629338033016136</v>
      </c>
      <c r="N131" s="9">
        <f>GFA!N132</f>
        <v>9.3067467688128444E-2</v>
      </c>
      <c r="O131" s="97">
        <f t="shared" si="213"/>
        <v>1.3104011438907679</v>
      </c>
      <c r="P131" s="9">
        <f t="shared" si="214"/>
        <v>1.033447821031295</v>
      </c>
      <c r="Q131" s="115">
        <f t="shared" si="215"/>
        <v>0.78864996863696335</v>
      </c>
      <c r="R131" s="116">
        <f t="shared" si="216"/>
        <v>0.27695332285947294</v>
      </c>
      <c r="S131" s="97">
        <f t="shared" si="234"/>
        <v>5.5390664571894586E-2</v>
      </c>
      <c r="T131" s="9"/>
      <c r="U131" s="9">
        <f>GFA!T132</f>
        <v>1.4269772709897421</v>
      </c>
      <c r="V131" s="9">
        <f>GFA!V132</f>
        <v>0.13679918338303854</v>
      </c>
      <c r="W131" s="97">
        <f t="shared" si="217"/>
        <v>1.4073988089355025</v>
      </c>
      <c r="X131" s="9">
        <f t="shared" si="218"/>
        <v>1.0888384856031896</v>
      </c>
      <c r="Y131" s="115">
        <f t="shared" si="219"/>
        <v>0.77365312425320398</v>
      </c>
      <c r="Z131" s="116">
        <f t="shared" si="220"/>
        <v>0.31856032333231288</v>
      </c>
      <c r="AA131" s="97">
        <f t="shared" si="235"/>
        <v>7.964008083307822E-2</v>
      </c>
      <c r="AB131" s="9"/>
      <c r="AC131" s="9">
        <f>GFA!AB132</f>
        <v>1.5637764543727806</v>
      </c>
      <c r="AD131" s="9">
        <f>GFA!AD132</f>
        <v>0</v>
      </c>
      <c r="AE131" s="97">
        <f t="shared" si="221"/>
        <v>1.4073988089355025</v>
      </c>
      <c r="AF131" s="9">
        <f t="shared" si="222"/>
        <v>1.1684785664362678</v>
      </c>
      <c r="AG131" s="115">
        <f t="shared" si="223"/>
        <v>0.83023984318990296</v>
      </c>
      <c r="AH131" s="116">
        <f t="shared" si="224"/>
        <v>0.23892024249923471</v>
      </c>
      <c r="AI131" s="97">
        <f t="shared" si="236"/>
        <v>7.9640080833078233E-2</v>
      </c>
      <c r="AJ131" s="9"/>
      <c r="AK131" s="9">
        <f>GFA!AJ132</f>
        <v>1.5637764543727806</v>
      </c>
      <c r="AL131" s="9">
        <f>GFA!AL132</f>
        <v>0</v>
      </c>
      <c r="AM131" s="97">
        <f t="shared" si="225"/>
        <v>1.4073988089355025</v>
      </c>
      <c r="AN131" s="9">
        <f t="shared" si="226"/>
        <v>1.248118647269346</v>
      </c>
      <c r="AO131" s="115">
        <f t="shared" si="227"/>
        <v>0.88682656212660194</v>
      </c>
      <c r="AP131" s="116">
        <f t="shared" si="228"/>
        <v>0.15928016166615655</v>
      </c>
      <c r="AQ131" s="97">
        <f t="shared" si="237"/>
        <v>7.9640080833078275E-2</v>
      </c>
      <c r="AR131" s="9"/>
      <c r="AS131" s="9">
        <f>GFA!AR132</f>
        <v>1.5637764543727806</v>
      </c>
      <c r="AT131" s="9">
        <f>GFA!AT132</f>
        <v>0</v>
      </c>
      <c r="AU131" s="97">
        <f t="shared" si="229"/>
        <v>1.4073988089355025</v>
      </c>
      <c r="AV131" s="9">
        <f t="shared" si="230"/>
        <v>1.3277587281024243</v>
      </c>
      <c r="AW131" s="115">
        <f t="shared" si="231"/>
        <v>0.94341328106330102</v>
      </c>
      <c r="AX131" s="116">
        <f t="shared" si="232"/>
        <v>7.9640080833078164E-2</v>
      </c>
      <c r="AY131" s="97">
        <f t="shared" si="238"/>
        <v>7.9640080833078164E-2</v>
      </c>
    </row>
    <row r="132" spans="2:51" x14ac:dyDescent="0.35">
      <c r="B132" s="7" t="s">
        <v>145</v>
      </c>
      <c r="C132" s="14">
        <v>6.3299999999999995E-2</v>
      </c>
      <c r="D132" s="9"/>
      <c r="E132" s="9">
        <f>GFA!D133</f>
        <v>0</v>
      </c>
      <c r="F132" s="9">
        <f>GFA!F133</f>
        <v>0</v>
      </c>
      <c r="G132" s="97">
        <f t="shared" si="210"/>
        <v>0</v>
      </c>
      <c r="H132" s="9">
        <v>0</v>
      </c>
      <c r="I132" s="115">
        <f t="shared" si="211"/>
        <v>0</v>
      </c>
      <c r="J132" s="116">
        <f t="shared" si="212"/>
        <v>0</v>
      </c>
      <c r="K132" s="97">
        <f t="shared" si="233"/>
        <v>0</v>
      </c>
      <c r="L132" s="9"/>
      <c r="M132" s="9">
        <f>GFA!L133</f>
        <v>0</v>
      </c>
      <c r="N132" s="9">
        <f>GFA!N133</f>
        <v>0</v>
      </c>
      <c r="O132" s="97">
        <f t="shared" si="213"/>
        <v>0</v>
      </c>
      <c r="P132" s="9">
        <f t="shared" si="214"/>
        <v>0</v>
      </c>
      <c r="Q132" s="115">
        <f t="shared" si="215"/>
        <v>0</v>
      </c>
      <c r="R132" s="116">
        <f t="shared" si="216"/>
        <v>0</v>
      </c>
      <c r="S132" s="97">
        <f t="shared" si="234"/>
        <v>0</v>
      </c>
      <c r="T132" s="9"/>
      <c r="U132" s="9">
        <f>GFA!T133</f>
        <v>0</v>
      </c>
      <c r="V132" s="9">
        <f>GFA!V133</f>
        <v>0</v>
      </c>
      <c r="W132" s="97">
        <f t="shared" si="217"/>
        <v>0</v>
      </c>
      <c r="X132" s="9">
        <f t="shared" si="218"/>
        <v>0</v>
      </c>
      <c r="Y132" s="115">
        <f t="shared" si="219"/>
        <v>0</v>
      </c>
      <c r="Z132" s="116">
        <f t="shared" si="220"/>
        <v>0</v>
      </c>
      <c r="AA132" s="97">
        <f t="shared" si="235"/>
        <v>0</v>
      </c>
      <c r="AB132" s="9"/>
      <c r="AC132" s="9">
        <f>GFA!AB133</f>
        <v>0</v>
      </c>
      <c r="AD132" s="9">
        <f>GFA!AD133</f>
        <v>0</v>
      </c>
      <c r="AE132" s="97">
        <f t="shared" si="221"/>
        <v>0</v>
      </c>
      <c r="AF132" s="9">
        <f t="shared" si="222"/>
        <v>0</v>
      </c>
      <c r="AG132" s="115">
        <f t="shared" si="223"/>
        <v>0</v>
      </c>
      <c r="AH132" s="116">
        <f t="shared" si="224"/>
        <v>0</v>
      </c>
      <c r="AI132" s="97">
        <f t="shared" si="236"/>
        <v>0</v>
      </c>
      <c r="AJ132" s="9"/>
      <c r="AK132" s="9">
        <f>GFA!AJ133</f>
        <v>0</v>
      </c>
      <c r="AL132" s="9">
        <f>GFA!AL133</f>
        <v>0</v>
      </c>
      <c r="AM132" s="97">
        <f t="shared" si="225"/>
        <v>0</v>
      </c>
      <c r="AN132" s="9">
        <f t="shared" si="226"/>
        <v>0</v>
      </c>
      <c r="AO132" s="115">
        <f t="shared" si="227"/>
        <v>0</v>
      </c>
      <c r="AP132" s="116">
        <f t="shared" si="228"/>
        <v>0</v>
      </c>
      <c r="AQ132" s="97">
        <f t="shared" si="237"/>
        <v>0</v>
      </c>
      <c r="AR132" s="9"/>
      <c r="AS132" s="9">
        <f>GFA!AR133</f>
        <v>0</v>
      </c>
      <c r="AT132" s="9">
        <f>GFA!AT133</f>
        <v>0</v>
      </c>
      <c r="AU132" s="97">
        <f t="shared" si="229"/>
        <v>0</v>
      </c>
      <c r="AV132" s="9">
        <f t="shared" si="230"/>
        <v>0</v>
      </c>
      <c r="AW132" s="115">
        <f t="shared" si="231"/>
        <v>0</v>
      </c>
      <c r="AX132" s="116">
        <f t="shared" si="232"/>
        <v>0</v>
      </c>
      <c r="AY132" s="97">
        <f t="shared" si="238"/>
        <v>0</v>
      </c>
    </row>
    <row r="133" spans="2:51" x14ac:dyDescent="0.35">
      <c r="B133" s="7" t="s">
        <v>146</v>
      </c>
      <c r="C133" s="14">
        <v>0.15</v>
      </c>
      <c r="D133" s="9"/>
      <c r="E133" s="9">
        <f>GFA!D134</f>
        <v>0</v>
      </c>
      <c r="F133" s="9">
        <f>GFA!F134</f>
        <v>0</v>
      </c>
      <c r="G133" s="97">
        <f t="shared" si="210"/>
        <v>0</v>
      </c>
      <c r="H133" s="9">
        <v>0</v>
      </c>
      <c r="I133" s="115">
        <f t="shared" si="211"/>
        <v>0</v>
      </c>
      <c r="J133" s="116">
        <f t="shared" si="212"/>
        <v>0</v>
      </c>
      <c r="K133" s="97">
        <f t="shared" si="233"/>
        <v>0</v>
      </c>
      <c r="L133" s="9"/>
      <c r="M133" s="9">
        <f>GFA!L134</f>
        <v>0</v>
      </c>
      <c r="N133" s="9">
        <f>GFA!N134</f>
        <v>0</v>
      </c>
      <c r="O133" s="97">
        <f t="shared" si="213"/>
        <v>0</v>
      </c>
      <c r="P133" s="9">
        <f t="shared" si="214"/>
        <v>0</v>
      </c>
      <c r="Q133" s="115">
        <f t="shared" si="215"/>
        <v>0</v>
      </c>
      <c r="R133" s="116">
        <f t="shared" si="216"/>
        <v>0</v>
      </c>
      <c r="S133" s="97">
        <f t="shared" si="234"/>
        <v>0</v>
      </c>
      <c r="T133" s="9"/>
      <c r="U133" s="9">
        <f>GFA!T134</f>
        <v>0</v>
      </c>
      <c r="V133" s="9">
        <f>GFA!V134</f>
        <v>0</v>
      </c>
      <c r="W133" s="97">
        <f t="shared" si="217"/>
        <v>0</v>
      </c>
      <c r="X133" s="9">
        <f t="shared" si="218"/>
        <v>0</v>
      </c>
      <c r="Y133" s="115">
        <f t="shared" si="219"/>
        <v>0</v>
      </c>
      <c r="Z133" s="116">
        <f t="shared" si="220"/>
        <v>0</v>
      </c>
      <c r="AA133" s="97">
        <f t="shared" si="235"/>
        <v>0</v>
      </c>
      <c r="AB133" s="9"/>
      <c r="AC133" s="9">
        <f>GFA!AB134</f>
        <v>0</v>
      </c>
      <c r="AD133" s="9">
        <f>GFA!AD134</f>
        <v>0</v>
      </c>
      <c r="AE133" s="97">
        <f t="shared" si="221"/>
        <v>0</v>
      </c>
      <c r="AF133" s="9">
        <f t="shared" si="222"/>
        <v>0</v>
      </c>
      <c r="AG133" s="115">
        <f t="shared" si="223"/>
        <v>0</v>
      </c>
      <c r="AH133" s="116">
        <f t="shared" si="224"/>
        <v>0</v>
      </c>
      <c r="AI133" s="97">
        <f t="shared" si="236"/>
        <v>0</v>
      </c>
      <c r="AJ133" s="9"/>
      <c r="AK133" s="9">
        <f>GFA!AJ134</f>
        <v>0</v>
      </c>
      <c r="AL133" s="9">
        <f>GFA!AL134</f>
        <v>0</v>
      </c>
      <c r="AM133" s="97">
        <f t="shared" si="225"/>
        <v>0</v>
      </c>
      <c r="AN133" s="9">
        <f t="shared" si="226"/>
        <v>0</v>
      </c>
      <c r="AO133" s="115">
        <f t="shared" si="227"/>
        <v>0</v>
      </c>
      <c r="AP133" s="116">
        <f t="shared" si="228"/>
        <v>0</v>
      </c>
      <c r="AQ133" s="97">
        <f t="shared" si="237"/>
        <v>0</v>
      </c>
      <c r="AR133" s="9"/>
      <c r="AS133" s="9">
        <f>GFA!AR134</f>
        <v>0</v>
      </c>
      <c r="AT133" s="9">
        <f>GFA!AT134</f>
        <v>0</v>
      </c>
      <c r="AU133" s="97">
        <f t="shared" si="229"/>
        <v>0</v>
      </c>
      <c r="AV133" s="9">
        <f t="shared" si="230"/>
        <v>0</v>
      </c>
      <c r="AW133" s="115">
        <f t="shared" si="231"/>
        <v>0</v>
      </c>
      <c r="AX133" s="116">
        <f t="shared" si="232"/>
        <v>0</v>
      </c>
      <c r="AY133" s="97">
        <f t="shared" si="238"/>
        <v>0</v>
      </c>
    </row>
    <row r="134" spans="2:51" x14ac:dyDescent="0.35">
      <c r="B134" s="7" t="s">
        <v>147</v>
      </c>
      <c r="C134" s="14">
        <v>0.3</v>
      </c>
      <c r="D134" s="9"/>
      <c r="E134" s="9">
        <f>GFA!D135</f>
        <v>0</v>
      </c>
      <c r="F134" s="9">
        <f>GFA!F135</f>
        <v>0</v>
      </c>
      <c r="G134" s="97">
        <f t="shared" si="210"/>
        <v>0</v>
      </c>
      <c r="H134" s="9">
        <v>0</v>
      </c>
      <c r="I134" s="115">
        <f t="shared" si="211"/>
        <v>0</v>
      </c>
      <c r="J134" s="116">
        <f t="shared" si="212"/>
        <v>0</v>
      </c>
      <c r="K134" s="97">
        <f t="shared" si="233"/>
        <v>0</v>
      </c>
      <c r="L134" s="9"/>
      <c r="M134" s="9">
        <f>GFA!L135</f>
        <v>0</v>
      </c>
      <c r="N134" s="9">
        <f>GFA!N135</f>
        <v>0</v>
      </c>
      <c r="O134" s="97">
        <f t="shared" si="213"/>
        <v>0</v>
      </c>
      <c r="P134" s="9">
        <f t="shared" si="214"/>
        <v>0</v>
      </c>
      <c r="Q134" s="115">
        <f t="shared" si="215"/>
        <v>0</v>
      </c>
      <c r="R134" s="116">
        <f t="shared" si="216"/>
        <v>0</v>
      </c>
      <c r="S134" s="97">
        <f t="shared" si="234"/>
        <v>0</v>
      </c>
      <c r="T134" s="9"/>
      <c r="U134" s="9">
        <f>GFA!T135</f>
        <v>0</v>
      </c>
      <c r="V134" s="9">
        <f>GFA!V135</f>
        <v>0</v>
      </c>
      <c r="W134" s="97">
        <f t="shared" si="217"/>
        <v>0</v>
      </c>
      <c r="X134" s="9">
        <f t="shared" si="218"/>
        <v>0</v>
      </c>
      <c r="Y134" s="115">
        <f t="shared" si="219"/>
        <v>0</v>
      </c>
      <c r="Z134" s="116">
        <f t="shared" si="220"/>
        <v>0</v>
      </c>
      <c r="AA134" s="97">
        <f t="shared" si="235"/>
        <v>0</v>
      </c>
      <c r="AB134" s="9"/>
      <c r="AC134" s="9">
        <f>GFA!AB135</f>
        <v>0</v>
      </c>
      <c r="AD134" s="9">
        <f>GFA!AD135</f>
        <v>0</v>
      </c>
      <c r="AE134" s="97">
        <f t="shared" si="221"/>
        <v>0</v>
      </c>
      <c r="AF134" s="9">
        <f t="shared" si="222"/>
        <v>0</v>
      </c>
      <c r="AG134" s="115">
        <f t="shared" si="223"/>
        <v>0</v>
      </c>
      <c r="AH134" s="116">
        <f t="shared" si="224"/>
        <v>0</v>
      </c>
      <c r="AI134" s="97">
        <f t="shared" si="236"/>
        <v>0</v>
      </c>
      <c r="AJ134" s="9"/>
      <c r="AK134" s="9">
        <f>GFA!AJ135</f>
        <v>0</v>
      </c>
      <c r="AL134" s="9">
        <f>GFA!AL135</f>
        <v>0</v>
      </c>
      <c r="AM134" s="97">
        <f t="shared" si="225"/>
        <v>0</v>
      </c>
      <c r="AN134" s="9">
        <f t="shared" si="226"/>
        <v>0</v>
      </c>
      <c r="AO134" s="115">
        <f t="shared" si="227"/>
        <v>0</v>
      </c>
      <c r="AP134" s="116">
        <f t="shared" si="228"/>
        <v>0</v>
      </c>
      <c r="AQ134" s="97">
        <f t="shared" si="237"/>
        <v>0</v>
      </c>
      <c r="AR134" s="9"/>
      <c r="AS134" s="9">
        <f>GFA!AR135</f>
        <v>0</v>
      </c>
      <c r="AT134" s="9">
        <f>GFA!AT135</f>
        <v>0</v>
      </c>
      <c r="AU134" s="97">
        <f t="shared" si="229"/>
        <v>0</v>
      </c>
      <c r="AV134" s="9">
        <f t="shared" si="230"/>
        <v>0</v>
      </c>
      <c r="AW134" s="115">
        <f t="shared" si="231"/>
        <v>0</v>
      </c>
      <c r="AX134" s="116">
        <f t="shared" si="232"/>
        <v>0</v>
      </c>
      <c r="AY134" s="97">
        <f t="shared" si="238"/>
        <v>0</v>
      </c>
    </row>
    <row r="135" spans="2:51" x14ac:dyDescent="0.35">
      <c r="B135" s="7" t="s">
        <v>148</v>
      </c>
      <c r="C135" s="14">
        <v>0.3</v>
      </c>
      <c r="D135" s="9"/>
      <c r="E135" s="9">
        <f>GFA!D136</f>
        <v>0</v>
      </c>
      <c r="F135" s="9">
        <f>GFA!F136</f>
        <v>0</v>
      </c>
      <c r="G135" s="97">
        <f t="shared" si="210"/>
        <v>0</v>
      </c>
      <c r="H135" s="9">
        <v>0</v>
      </c>
      <c r="I135" s="115">
        <f t="shared" si="211"/>
        <v>0</v>
      </c>
      <c r="J135" s="116">
        <f t="shared" si="212"/>
        <v>0</v>
      </c>
      <c r="K135" s="97">
        <f t="shared" si="233"/>
        <v>0</v>
      </c>
      <c r="L135" s="9"/>
      <c r="M135" s="9">
        <f>GFA!L136</f>
        <v>0</v>
      </c>
      <c r="N135" s="9">
        <f>GFA!N136</f>
        <v>0</v>
      </c>
      <c r="O135" s="97">
        <f t="shared" si="213"/>
        <v>0</v>
      </c>
      <c r="P135" s="9">
        <f t="shared" si="214"/>
        <v>0</v>
      </c>
      <c r="Q135" s="115">
        <f t="shared" si="215"/>
        <v>0</v>
      </c>
      <c r="R135" s="116">
        <f t="shared" si="216"/>
        <v>0</v>
      </c>
      <c r="S135" s="97">
        <f t="shared" si="234"/>
        <v>0</v>
      </c>
      <c r="T135" s="9"/>
      <c r="U135" s="9">
        <f>GFA!T136</f>
        <v>0</v>
      </c>
      <c r="V135" s="9">
        <f>GFA!V136</f>
        <v>0</v>
      </c>
      <c r="W135" s="97">
        <f t="shared" si="217"/>
        <v>0</v>
      </c>
      <c r="X135" s="9">
        <f t="shared" si="218"/>
        <v>0</v>
      </c>
      <c r="Y135" s="115">
        <f t="shared" si="219"/>
        <v>0</v>
      </c>
      <c r="Z135" s="116">
        <f t="shared" si="220"/>
        <v>0</v>
      </c>
      <c r="AA135" s="97">
        <f t="shared" si="235"/>
        <v>0</v>
      </c>
      <c r="AB135" s="9"/>
      <c r="AC135" s="9">
        <f>GFA!AB136</f>
        <v>0</v>
      </c>
      <c r="AD135" s="9">
        <f>GFA!AD136</f>
        <v>0</v>
      </c>
      <c r="AE135" s="97">
        <f t="shared" si="221"/>
        <v>0</v>
      </c>
      <c r="AF135" s="9">
        <f t="shared" si="222"/>
        <v>0</v>
      </c>
      <c r="AG135" s="115">
        <f t="shared" si="223"/>
        <v>0</v>
      </c>
      <c r="AH135" s="116">
        <f t="shared" si="224"/>
        <v>0</v>
      </c>
      <c r="AI135" s="97">
        <f t="shared" si="236"/>
        <v>0</v>
      </c>
      <c r="AJ135" s="9"/>
      <c r="AK135" s="9">
        <f>GFA!AJ136</f>
        <v>0</v>
      </c>
      <c r="AL135" s="9">
        <f>GFA!AL136</f>
        <v>0</v>
      </c>
      <c r="AM135" s="97">
        <f t="shared" si="225"/>
        <v>0</v>
      </c>
      <c r="AN135" s="9">
        <f t="shared" si="226"/>
        <v>0</v>
      </c>
      <c r="AO135" s="115">
        <f t="shared" si="227"/>
        <v>0</v>
      </c>
      <c r="AP135" s="116">
        <f t="shared" si="228"/>
        <v>0</v>
      </c>
      <c r="AQ135" s="97">
        <f t="shared" si="237"/>
        <v>0</v>
      </c>
      <c r="AR135" s="9"/>
      <c r="AS135" s="9">
        <f>GFA!AR136</f>
        <v>0</v>
      </c>
      <c r="AT135" s="9">
        <f>GFA!AT136</f>
        <v>0</v>
      </c>
      <c r="AU135" s="97">
        <f t="shared" si="229"/>
        <v>0</v>
      </c>
      <c r="AV135" s="9">
        <f t="shared" si="230"/>
        <v>0</v>
      </c>
      <c r="AW135" s="115">
        <f t="shared" si="231"/>
        <v>0</v>
      </c>
      <c r="AX135" s="116">
        <f t="shared" si="232"/>
        <v>0</v>
      </c>
      <c r="AY135" s="97">
        <f t="shared" si="238"/>
        <v>0</v>
      </c>
    </row>
    <row r="136" spans="2:51" ht="31" x14ac:dyDescent="0.35">
      <c r="B136" s="84" t="s">
        <v>149</v>
      </c>
      <c r="C136" s="117">
        <v>3.3399999999999999E-2</v>
      </c>
      <c r="D136" s="9"/>
      <c r="E136" s="9">
        <f>GFA!D137</f>
        <v>0</v>
      </c>
      <c r="F136" s="9">
        <f>GFA!F137</f>
        <v>0</v>
      </c>
      <c r="G136" s="97">
        <f t="shared" si="210"/>
        <v>0</v>
      </c>
      <c r="H136" s="9">
        <v>0</v>
      </c>
      <c r="I136" s="115">
        <f t="shared" si="211"/>
        <v>0</v>
      </c>
      <c r="J136" s="116">
        <f t="shared" si="212"/>
        <v>0</v>
      </c>
      <c r="K136" s="97">
        <f t="shared" si="233"/>
        <v>0</v>
      </c>
      <c r="L136" s="9"/>
      <c r="M136" s="9">
        <f>GFA!L137</f>
        <v>0</v>
      </c>
      <c r="N136" s="9">
        <f>GFA!N137</f>
        <v>0</v>
      </c>
      <c r="O136" s="97">
        <f t="shared" si="213"/>
        <v>0</v>
      </c>
      <c r="P136" s="9">
        <f t="shared" si="214"/>
        <v>0</v>
      </c>
      <c r="Q136" s="115">
        <f t="shared" si="215"/>
        <v>0</v>
      </c>
      <c r="R136" s="116">
        <f t="shared" si="216"/>
        <v>0</v>
      </c>
      <c r="S136" s="97">
        <f t="shared" si="234"/>
        <v>0</v>
      </c>
      <c r="T136" s="9"/>
      <c r="U136" s="9">
        <f>GFA!T137</f>
        <v>0</v>
      </c>
      <c r="V136" s="9">
        <f>GFA!V137</f>
        <v>0</v>
      </c>
      <c r="W136" s="97">
        <f t="shared" si="217"/>
        <v>0</v>
      </c>
      <c r="X136" s="9">
        <f t="shared" si="218"/>
        <v>0</v>
      </c>
      <c r="Y136" s="115">
        <f t="shared" si="219"/>
        <v>0</v>
      </c>
      <c r="Z136" s="116">
        <f t="shared" si="220"/>
        <v>0</v>
      </c>
      <c r="AA136" s="97">
        <f t="shared" si="235"/>
        <v>0</v>
      </c>
      <c r="AB136" s="9"/>
      <c r="AC136" s="9">
        <f>GFA!AB137</f>
        <v>0</v>
      </c>
      <c r="AD136" s="9">
        <f>GFA!AD137</f>
        <v>0</v>
      </c>
      <c r="AE136" s="97">
        <f t="shared" si="221"/>
        <v>0</v>
      </c>
      <c r="AF136" s="9">
        <f t="shared" si="222"/>
        <v>0</v>
      </c>
      <c r="AG136" s="115">
        <f t="shared" si="223"/>
        <v>0</v>
      </c>
      <c r="AH136" s="116">
        <f t="shared" si="224"/>
        <v>0</v>
      </c>
      <c r="AI136" s="97">
        <f t="shared" si="236"/>
        <v>0</v>
      </c>
      <c r="AJ136" s="9"/>
      <c r="AK136" s="9">
        <f>GFA!AJ137</f>
        <v>0</v>
      </c>
      <c r="AL136" s="9">
        <f>GFA!AL137</f>
        <v>0</v>
      </c>
      <c r="AM136" s="97">
        <f t="shared" si="225"/>
        <v>0</v>
      </c>
      <c r="AN136" s="9">
        <f t="shared" si="226"/>
        <v>0</v>
      </c>
      <c r="AO136" s="115">
        <f t="shared" si="227"/>
        <v>0</v>
      </c>
      <c r="AP136" s="116">
        <f t="shared" si="228"/>
        <v>0</v>
      </c>
      <c r="AQ136" s="97">
        <f t="shared" si="237"/>
        <v>0</v>
      </c>
      <c r="AR136" s="9"/>
      <c r="AS136" s="9">
        <f>GFA!AR137</f>
        <v>0</v>
      </c>
      <c r="AT136" s="9">
        <f>GFA!AT137</f>
        <v>0</v>
      </c>
      <c r="AU136" s="97">
        <f t="shared" si="229"/>
        <v>0</v>
      </c>
      <c r="AV136" s="9">
        <f t="shared" si="230"/>
        <v>0</v>
      </c>
      <c r="AW136" s="115">
        <f t="shared" si="231"/>
        <v>0</v>
      </c>
      <c r="AX136" s="116">
        <f t="shared" si="232"/>
        <v>0</v>
      </c>
      <c r="AY136" s="97">
        <f t="shared" si="238"/>
        <v>0</v>
      </c>
    </row>
    <row r="137" spans="2:51" x14ac:dyDescent="0.35">
      <c r="B137" s="12" t="s">
        <v>27</v>
      </c>
      <c r="C137" s="12"/>
      <c r="D137" s="13"/>
      <c r="E137" s="13">
        <f>GFA!D138</f>
        <v>1697.264459498</v>
      </c>
      <c r="F137" s="13">
        <f>GFA!F138</f>
        <v>0.87431812699999989</v>
      </c>
      <c r="G137" s="98">
        <f t="shared" si="210"/>
        <v>1528.3248998624999</v>
      </c>
      <c r="H137" s="13">
        <f t="shared" ref="H137:AY137" si="239">SUM(H120:H136)</f>
        <v>1452.057981476438</v>
      </c>
      <c r="I137" s="13"/>
      <c r="J137" s="13">
        <f t="shared" si="239"/>
        <v>76.266918386061803</v>
      </c>
      <c r="K137" s="13">
        <f t="shared" si="239"/>
        <v>4.0101783568688587</v>
      </c>
      <c r="L137" s="13"/>
      <c r="M137" s="13">
        <f t="shared" si="239"/>
        <v>1697.3416862759998</v>
      </c>
      <c r="N137" s="13">
        <f t="shared" si="239"/>
        <v>8.1829763999999976</v>
      </c>
      <c r="O137" s="13">
        <f t="shared" si="239"/>
        <v>1534.9721964083999</v>
      </c>
      <c r="P137" s="13">
        <f t="shared" si="239"/>
        <v>1456.0681598333072</v>
      </c>
      <c r="Q137" s="13"/>
      <c r="R137" s="13">
        <f t="shared" si="239"/>
        <v>78.904036575092803</v>
      </c>
      <c r="S137" s="13">
        <f t="shared" si="239"/>
        <v>4.0915140240007828</v>
      </c>
      <c r="T137" s="13"/>
      <c r="U137" s="13">
        <f t="shared" si="239"/>
        <v>1705.4956386759998</v>
      </c>
      <c r="V137" s="13">
        <f t="shared" si="239"/>
        <v>0.15421749400000007</v>
      </c>
      <c r="W137" s="13">
        <f t="shared" si="239"/>
        <v>1535.084870553</v>
      </c>
      <c r="X137" s="13">
        <f t="shared" si="239"/>
        <v>1460.159673857308</v>
      </c>
      <c r="Y137" s="13"/>
      <c r="Z137" s="13">
        <f t="shared" si="239"/>
        <v>74.925196695691923</v>
      </c>
      <c r="AA137" s="13">
        <f t="shared" si="239"/>
        <v>4.0809908452187544</v>
      </c>
      <c r="AB137" s="13"/>
      <c r="AC137" s="13">
        <f t="shared" si="239"/>
        <v>1705.6498561699998</v>
      </c>
      <c r="AD137" s="13">
        <f t="shared" si="239"/>
        <v>34.549999999999997</v>
      </c>
      <c r="AE137" s="13">
        <f t="shared" si="239"/>
        <v>1566.179870553</v>
      </c>
      <c r="AF137" s="13">
        <f t="shared" si="239"/>
        <v>1464.2406647025271</v>
      </c>
      <c r="AG137" s="13"/>
      <c r="AH137" s="13">
        <f t="shared" si="239"/>
        <v>101.93920585047309</v>
      </c>
      <c r="AI137" s="13">
        <f t="shared" si="239"/>
        <v>14.445990845218727</v>
      </c>
      <c r="AJ137" s="13"/>
      <c r="AK137" s="13">
        <f t="shared" si="239"/>
        <v>1740.1998561699997</v>
      </c>
      <c r="AL137" s="13">
        <f t="shared" si="239"/>
        <v>114.04999999999998</v>
      </c>
      <c r="AM137" s="13">
        <f t="shared" si="239"/>
        <v>1668.824870553</v>
      </c>
      <c r="AN137" s="13">
        <f t="shared" si="239"/>
        <v>1478.6866555477454</v>
      </c>
      <c r="AO137" s="13">
        <f t="shared" si="239"/>
        <v>7.0570927056770421</v>
      </c>
      <c r="AP137" s="13">
        <f t="shared" si="239"/>
        <v>190.13821500525441</v>
      </c>
      <c r="AQ137" s="13">
        <f t="shared" si="239"/>
        <v>65.76849084521875</v>
      </c>
      <c r="AR137" s="13"/>
      <c r="AS137" s="13">
        <f t="shared" si="239"/>
        <v>1854.2498561699997</v>
      </c>
      <c r="AT137" s="13">
        <f t="shared" si="239"/>
        <v>8.5</v>
      </c>
      <c r="AU137" s="13">
        <f t="shared" si="239"/>
        <v>1676.4748705530001</v>
      </c>
      <c r="AV137" s="13">
        <f t="shared" si="239"/>
        <v>1544.4551463929647</v>
      </c>
      <c r="AW137" s="13">
        <f t="shared" si="239"/>
        <v>7.2704595621217765</v>
      </c>
      <c r="AX137" s="13">
        <f t="shared" si="239"/>
        <v>132.01972416003568</v>
      </c>
      <c r="AY137" s="13">
        <f t="shared" si="239"/>
        <v>73.418490845218727</v>
      </c>
    </row>
    <row r="138" spans="2:51" x14ac:dyDescent="0.35">
      <c r="B138" s="70" t="s">
        <v>155</v>
      </c>
      <c r="C138" s="70"/>
      <c r="D138" s="118">
        <v>15.22</v>
      </c>
      <c r="E138" s="9"/>
      <c r="F138" s="9"/>
      <c r="G138" s="97"/>
      <c r="H138" s="7"/>
      <c r="I138" s="7"/>
      <c r="J138" s="7"/>
      <c r="K138" s="7"/>
      <c r="L138" s="118">
        <f>D138-1</f>
        <v>14.22</v>
      </c>
      <c r="M138" s="7"/>
      <c r="N138" s="7"/>
      <c r="O138" s="7"/>
      <c r="P138" s="7"/>
      <c r="Q138" s="7"/>
      <c r="R138" s="7"/>
      <c r="S138" s="7"/>
      <c r="T138" s="118">
        <f>L138-1</f>
        <v>13.22</v>
      </c>
      <c r="U138" s="7"/>
      <c r="V138" s="7"/>
      <c r="W138" s="7"/>
      <c r="X138" s="7"/>
      <c r="Y138" s="7"/>
      <c r="Z138" s="7"/>
      <c r="AA138" s="7"/>
      <c r="AB138" s="118">
        <f>T138-1</f>
        <v>12.22</v>
      </c>
      <c r="AC138" s="7"/>
      <c r="AD138" s="7"/>
      <c r="AE138" s="7"/>
      <c r="AF138" s="7"/>
      <c r="AG138" s="7"/>
      <c r="AH138" s="7"/>
      <c r="AI138" s="7"/>
      <c r="AJ138" s="118">
        <f>AB138-1</f>
        <v>11.22</v>
      </c>
      <c r="AK138" s="7"/>
      <c r="AL138" s="7"/>
      <c r="AM138" s="7"/>
      <c r="AN138" s="7"/>
      <c r="AO138" s="7"/>
      <c r="AP138" s="7"/>
      <c r="AQ138" s="7"/>
      <c r="AR138" s="118">
        <f>AJ138-1</f>
        <v>10.220000000000001</v>
      </c>
      <c r="AS138" s="9"/>
      <c r="AT138" s="9"/>
      <c r="AU138" s="9"/>
      <c r="AV138" s="9"/>
      <c r="AW138" s="9"/>
      <c r="AX138" s="9"/>
      <c r="AY138" s="9"/>
    </row>
    <row r="139" spans="2:51" x14ac:dyDescent="0.35">
      <c r="B139" s="7" t="s">
        <v>133</v>
      </c>
      <c r="C139" s="14">
        <v>0</v>
      </c>
      <c r="D139" s="9"/>
      <c r="E139" s="9">
        <f>GFA!D140</f>
        <v>61.027374925029619</v>
      </c>
      <c r="F139" s="9">
        <f>GFA!F140</f>
        <v>1.1082184684349028</v>
      </c>
      <c r="G139" s="97">
        <f t="shared" si="210"/>
        <v>55.922034054118072</v>
      </c>
      <c r="H139" s="9">
        <v>0</v>
      </c>
      <c r="I139" s="115">
        <f t="shared" ref="I139:I155" si="240">IFERROR(H139/G139,0)</f>
        <v>0</v>
      </c>
      <c r="J139" s="116">
        <f t="shared" ref="J139:J155" si="241">MAX(G139-H139,0)</f>
        <v>55.922034054118072</v>
      </c>
      <c r="K139" s="97">
        <f>IF(I139&lt;70%,MIN(J139,(E139+F139/2)*$C139),J139/D$138)</f>
        <v>0</v>
      </c>
      <c r="L139" s="9"/>
      <c r="M139" s="9">
        <f>GFA!L140</f>
        <v>62.135593393464525</v>
      </c>
      <c r="N139" s="9">
        <f>GFA!N140</f>
        <v>1.5488318475712426</v>
      </c>
      <c r="O139" s="97">
        <f t="shared" ref="O139:O155" si="242">90%*(M139+N139)</f>
        <v>57.31598271693219</v>
      </c>
      <c r="P139" s="9">
        <f t="shared" ref="P139:P155" si="243">H139+K139</f>
        <v>0</v>
      </c>
      <c r="Q139" s="115">
        <f t="shared" ref="Q139:Q155" si="244">IFERROR(P139/O139,0)</f>
        <v>0</v>
      </c>
      <c r="R139" s="116">
        <f t="shared" ref="R139:R155" si="245">MAX(O139-P139,0)</f>
        <v>57.31598271693219</v>
      </c>
      <c r="S139" s="97">
        <f>IF(Q139&lt;70%,MIN(R139,(M139+N139/2)*$C139),R139/L$138)</f>
        <v>0</v>
      </c>
      <c r="T139" s="9"/>
      <c r="U139" s="9">
        <f>GFA!T140</f>
        <v>63.684425241035768</v>
      </c>
      <c r="V139" s="9">
        <f>GFA!V140</f>
        <v>1.0787732999999997</v>
      </c>
      <c r="W139" s="97">
        <f t="shared" ref="W139:W155" si="246">90%*(U139+V139)</f>
        <v>58.286878686932191</v>
      </c>
      <c r="X139" s="9">
        <f t="shared" ref="X139:X155" si="247">P139+S139</f>
        <v>0</v>
      </c>
      <c r="Y139" s="115">
        <f t="shared" ref="Y139:Y155" si="248">IFERROR(X139/W139,0)</f>
        <v>0</v>
      </c>
      <c r="Z139" s="116">
        <f t="shared" ref="Z139:Z155" si="249">MAX(W139-X139,0)</f>
        <v>58.286878686932191</v>
      </c>
      <c r="AA139" s="97">
        <f>IF(Y139&lt;70%,MIN(Z139,(U139+V139/2)*$C139),Z139/T$138)</f>
        <v>0</v>
      </c>
      <c r="AB139" s="9"/>
      <c r="AC139" s="9">
        <f>GFA!AB140</f>
        <v>64.763198541035763</v>
      </c>
      <c r="AD139" s="9">
        <f>GFA!AD140</f>
        <v>0</v>
      </c>
      <c r="AE139" s="97">
        <f t="shared" ref="AE139:AE155" si="250">90%*(AC139+AD139)</f>
        <v>58.286878686932191</v>
      </c>
      <c r="AF139" s="9">
        <f t="shared" ref="AF139:AF155" si="251">X139+AA139</f>
        <v>0</v>
      </c>
      <c r="AG139" s="115">
        <f t="shared" ref="AG139:AG155" si="252">IFERROR(AF139/AE139,0)</f>
        <v>0</v>
      </c>
      <c r="AH139" s="116">
        <f t="shared" ref="AH139:AH155" si="253">MAX(AE139-AF139,0)</f>
        <v>58.286878686932191</v>
      </c>
      <c r="AI139" s="97">
        <f>IF(AG139&lt;70%,MIN(AH139,(AC139+AD139/2)*$C139),AH139/AB$138)</f>
        <v>0</v>
      </c>
      <c r="AJ139" s="9"/>
      <c r="AK139" s="9">
        <f>GFA!AJ140</f>
        <v>64.763198541035763</v>
      </c>
      <c r="AL139" s="9">
        <f>GFA!AL140</f>
        <v>0</v>
      </c>
      <c r="AM139" s="97">
        <f t="shared" ref="AM139:AM155" si="254">90%*(AK139+AL139)</f>
        <v>58.286878686932191</v>
      </c>
      <c r="AN139" s="9">
        <f t="shared" ref="AN139:AN155" si="255">AF139+AI139</f>
        <v>0</v>
      </c>
      <c r="AO139" s="115">
        <f t="shared" ref="AO139:AO155" si="256">IFERROR(AN139/AM139,0)</f>
        <v>0</v>
      </c>
      <c r="AP139" s="116">
        <f t="shared" ref="AP139:AP155" si="257">MAX(AM139-AN139,0)</f>
        <v>58.286878686932191</v>
      </c>
      <c r="AQ139" s="97">
        <f>IF(AO139&lt;70%,MIN(AP139,(AK139+AL139/2)*$C139),AP139/AJ$138)</f>
        <v>0</v>
      </c>
      <c r="AR139" s="9"/>
      <c r="AS139" s="9">
        <f>GFA!AR140</f>
        <v>64.763198541035763</v>
      </c>
      <c r="AT139" s="9">
        <f>GFA!AT140</f>
        <v>0</v>
      </c>
      <c r="AU139" s="97">
        <f t="shared" ref="AU139:AU155" si="258">90%*(AS139+AT139)</f>
        <v>58.286878686932191</v>
      </c>
      <c r="AV139" s="9">
        <f t="shared" ref="AV139:AV155" si="259">AN139+AQ139</f>
        <v>0</v>
      </c>
      <c r="AW139" s="115">
        <f t="shared" ref="AW139:AW155" si="260">IFERROR(AV139/AU139,0)</f>
        <v>0</v>
      </c>
      <c r="AX139" s="116">
        <f t="shared" ref="AX139:AX155" si="261">MAX(AU139-AV139,0)</f>
        <v>58.286878686932191</v>
      </c>
      <c r="AY139" s="97">
        <f>IF(AW139&lt;70%,MIN(AX139,(AS139+AT139/2)*$C139),AX139/AR$138)</f>
        <v>0</v>
      </c>
    </row>
    <row r="140" spans="2:51" x14ac:dyDescent="0.35">
      <c r="B140" s="7" t="s">
        <v>134</v>
      </c>
      <c r="C140" s="14">
        <v>3.3399999999999999E-2</v>
      </c>
      <c r="D140" s="9"/>
      <c r="E140" s="9">
        <f>GFA!D141</f>
        <v>243.03241508693986</v>
      </c>
      <c r="F140" s="9">
        <f>GFA!F141</f>
        <v>0</v>
      </c>
      <c r="G140" s="97">
        <f t="shared" si="210"/>
        <v>218.72917357824588</v>
      </c>
      <c r="H140" s="9">
        <v>106.88406944440577</v>
      </c>
      <c r="I140" s="115">
        <f t="shared" si="240"/>
        <v>0.48865941244079258</v>
      </c>
      <c r="J140" s="116">
        <f t="shared" si="241"/>
        <v>111.84510413384011</v>
      </c>
      <c r="K140" s="97">
        <f t="shared" ref="K140:K155" si="262">IF(I140&lt;70%,MIN(J140,(E140+F140/2)*$C140),J140/D$138)</f>
        <v>8.1172826639037918</v>
      </c>
      <c r="L140" s="9"/>
      <c r="M140" s="9">
        <f>GFA!L141</f>
        <v>243.03241508693986</v>
      </c>
      <c r="N140" s="9">
        <f>GFA!N141</f>
        <v>0</v>
      </c>
      <c r="O140" s="97">
        <f t="shared" si="242"/>
        <v>218.72917357824588</v>
      </c>
      <c r="P140" s="9">
        <f t="shared" si="243"/>
        <v>115.00135210830956</v>
      </c>
      <c r="Q140" s="115">
        <f t="shared" si="244"/>
        <v>0.52577052355190368</v>
      </c>
      <c r="R140" s="116">
        <f t="shared" si="245"/>
        <v>103.72782146993632</v>
      </c>
      <c r="S140" s="97">
        <f t="shared" ref="S140:S155" si="263">IF(Q140&lt;70%,MIN(R140,(M140+N140/2)*$C140),R140/L$138)</f>
        <v>8.1172826639037918</v>
      </c>
      <c r="T140" s="9"/>
      <c r="U140" s="9">
        <f>GFA!T141</f>
        <v>243.03241508693986</v>
      </c>
      <c r="V140" s="9">
        <f>GFA!V141</f>
        <v>0</v>
      </c>
      <c r="W140" s="97">
        <f t="shared" si="246"/>
        <v>218.72917357824588</v>
      </c>
      <c r="X140" s="9">
        <f t="shared" si="247"/>
        <v>123.11863477221335</v>
      </c>
      <c r="Y140" s="115">
        <f t="shared" si="248"/>
        <v>0.56288163466301488</v>
      </c>
      <c r="Z140" s="116">
        <f t="shared" si="249"/>
        <v>95.610538806032523</v>
      </c>
      <c r="AA140" s="97">
        <f t="shared" ref="AA140:AA155" si="264">IF(Y140&lt;70%,MIN(Z140,(U140+V140/2)*$C140),Z140/T$138)</f>
        <v>8.1172826639037918</v>
      </c>
      <c r="AB140" s="9"/>
      <c r="AC140" s="9">
        <f>GFA!AB141</f>
        <v>243.03241508693986</v>
      </c>
      <c r="AD140" s="9">
        <f>GFA!AD141</f>
        <v>0</v>
      </c>
      <c r="AE140" s="97">
        <f t="shared" si="250"/>
        <v>218.72917357824588</v>
      </c>
      <c r="AF140" s="9">
        <f t="shared" si="251"/>
        <v>131.23591743611715</v>
      </c>
      <c r="AG140" s="115">
        <f t="shared" si="252"/>
        <v>0.59999274577412598</v>
      </c>
      <c r="AH140" s="116">
        <f t="shared" si="253"/>
        <v>87.493256142128729</v>
      </c>
      <c r="AI140" s="97">
        <f t="shared" ref="AI140:AI155" si="265">IF(AG140&lt;70%,MIN(AH140,(AC140+AD140/2)*$C140),AH140/AB$138)</f>
        <v>8.1172826639037918</v>
      </c>
      <c r="AJ140" s="9"/>
      <c r="AK140" s="9">
        <f>GFA!AJ141</f>
        <v>243.03241508693986</v>
      </c>
      <c r="AL140" s="9">
        <f>GFA!AL141</f>
        <v>0</v>
      </c>
      <c r="AM140" s="97">
        <f t="shared" si="254"/>
        <v>218.72917357824588</v>
      </c>
      <c r="AN140" s="9">
        <f t="shared" si="255"/>
        <v>139.35320010002093</v>
      </c>
      <c r="AO140" s="115">
        <f t="shared" si="256"/>
        <v>0.63710385688523707</v>
      </c>
      <c r="AP140" s="116">
        <f t="shared" si="257"/>
        <v>79.37597347822495</v>
      </c>
      <c r="AQ140" s="97">
        <f t="shared" ref="AQ140:AQ155" si="266">IF(AO140&lt;70%,MIN(AP140,(AK140+AL140/2)*$C140),AP140/AJ$138)</f>
        <v>8.1172826639037918</v>
      </c>
      <c r="AR140" s="9"/>
      <c r="AS140" s="9">
        <f>GFA!AR141</f>
        <v>243.03241508693986</v>
      </c>
      <c r="AT140" s="9">
        <f>GFA!AT141</f>
        <v>0</v>
      </c>
      <c r="AU140" s="97">
        <f t="shared" si="258"/>
        <v>218.72917357824588</v>
      </c>
      <c r="AV140" s="9">
        <f t="shared" si="259"/>
        <v>147.47048276392471</v>
      </c>
      <c r="AW140" s="115">
        <f t="shared" si="260"/>
        <v>0.67421496799634806</v>
      </c>
      <c r="AX140" s="116">
        <f t="shared" si="261"/>
        <v>71.25869081432117</v>
      </c>
      <c r="AY140" s="97">
        <f t="shared" ref="AY140:AY155" si="267">IF(AW140&lt;70%,MIN(AX140,(AS140+AT140/2)*$C140),AX140/AR$138)</f>
        <v>8.1172826639037918</v>
      </c>
    </row>
    <row r="141" spans="2:51" ht="31" x14ac:dyDescent="0.35">
      <c r="B141" s="84" t="s">
        <v>135</v>
      </c>
      <c r="C141" s="117">
        <v>5.28E-2</v>
      </c>
      <c r="D141" s="9"/>
      <c r="E141" s="9">
        <f>GFA!D142</f>
        <v>43.778261135392526</v>
      </c>
      <c r="F141" s="9">
        <f>GFA!F142</f>
        <v>0</v>
      </c>
      <c r="G141" s="97">
        <f t="shared" si="210"/>
        <v>39.400435021853276</v>
      </c>
      <c r="H141" s="9">
        <v>19.465855139224686</v>
      </c>
      <c r="I141" s="115">
        <f t="shared" si="240"/>
        <v>0.49405178212951295</v>
      </c>
      <c r="J141" s="116">
        <f t="shared" si="241"/>
        <v>19.93457988262859</v>
      </c>
      <c r="K141" s="97">
        <f t="shared" si="262"/>
        <v>2.3114921879487254</v>
      </c>
      <c r="L141" s="9"/>
      <c r="M141" s="9">
        <f>GFA!L142</f>
        <v>43.778261135392526</v>
      </c>
      <c r="N141" s="9">
        <f>GFA!N142</f>
        <v>0</v>
      </c>
      <c r="O141" s="97">
        <f t="shared" si="242"/>
        <v>39.400435021853276</v>
      </c>
      <c r="P141" s="9">
        <f t="shared" si="243"/>
        <v>21.777347327173413</v>
      </c>
      <c r="Q141" s="115">
        <f t="shared" si="244"/>
        <v>0.5527184487961796</v>
      </c>
      <c r="R141" s="116">
        <f t="shared" si="245"/>
        <v>17.623087694679864</v>
      </c>
      <c r="S141" s="97">
        <f t="shared" si="263"/>
        <v>2.3114921879487254</v>
      </c>
      <c r="T141" s="9"/>
      <c r="U141" s="9">
        <f>GFA!T142</f>
        <v>43.778261135392526</v>
      </c>
      <c r="V141" s="9">
        <f>GFA!V142</f>
        <v>0</v>
      </c>
      <c r="W141" s="97">
        <f t="shared" si="246"/>
        <v>39.400435021853276</v>
      </c>
      <c r="X141" s="9">
        <f t="shared" si="247"/>
        <v>24.088839515122139</v>
      </c>
      <c r="Y141" s="115">
        <f t="shared" si="248"/>
        <v>0.61138511546284635</v>
      </c>
      <c r="Z141" s="116">
        <f t="shared" si="249"/>
        <v>15.311595506731138</v>
      </c>
      <c r="AA141" s="97">
        <f t="shared" si="264"/>
        <v>2.3114921879487254</v>
      </c>
      <c r="AB141" s="9"/>
      <c r="AC141" s="9">
        <f>GFA!AB142</f>
        <v>43.778261135392526</v>
      </c>
      <c r="AD141" s="9">
        <f>GFA!AD142</f>
        <v>0</v>
      </c>
      <c r="AE141" s="97">
        <f t="shared" si="250"/>
        <v>39.400435021853276</v>
      </c>
      <c r="AF141" s="9">
        <f t="shared" si="251"/>
        <v>26.400331703070865</v>
      </c>
      <c r="AG141" s="115">
        <f t="shared" si="252"/>
        <v>0.670051782129513</v>
      </c>
      <c r="AH141" s="116">
        <f t="shared" si="253"/>
        <v>13.000103318782411</v>
      </c>
      <c r="AI141" s="97">
        <f t="shared" si="265"/>
        <v>2.3114921879487254</v>
      </c>
      <c r="AJ141" s="9"/>
      <c r="AK141" s="9">
        <f>GFA!AJ142</f>
        <v>43.778261135392526</v>
      </c>
      <c r="AL141" s="9">
        <f>GFA!AL142</f>
        <v>0</v>
      </c>
      <c r="AM141" s="97">
        <f t="shared" si="254"/>
        <v>39.400435021853276</v>
      </c>
      <c r="AN141" s="9">
        <f t="shared" si="255"/>
        <v>28.711823891019591</v>
      </c>
      <c r="AO141" s="115">
        <f t="shared" si="256"/>
        <v>0.72871844879617964</v>
      </c>
      <c r="AP141" s="116">
        <f t="shared" si="257"/>
        <v>10.688611130833685</v>
      </c>
      <c r="AQ141" s="97">
        <f t="shared" si="266"/>
        <v>0.95263913822047097</v>
      </c>
      <c r="AR141" s="9"/>
      <c r="AS141" s="9">
        <f>GFA!AR142</f>
        <v>43.778261135392526</v>
      </c>
      <c r="AT141" s="9">
        <f>GFA!AT142</f>
        <v>0</v>
      </c>
      <c r="AU141" s="97">
        <f t="shared" si="258"/>
        <v>39.400435021853276</v>
      </c>
      <c r="AV141" s="9">
        <f t="shared" si="259"/>
        <v>29.664463029240061</v>
      </c>
      <c r="AW141" s="115">
        <f t="shared" si="260"/>
        <v>0.7528968401690691</v>
      </c>
      <c r="AX141" s="116">
        <f t="shared" si="261"/>
        <v>9.7359719926132158</v>
      </c>
      <c r="AY141" s="97">
        <f t="shared" si="267"/>
        <v>0.95263913822047119</v>
      </c>
    </row>
    <row r="142" spans="2:51" x14ac:dyDescent="0.35">
      <c r="B142" s="7" t="s">
        <v>136</v>
      </c>
      <c r="C142" s="14">
        <v>5.28E-2</v>
      </c>
      <c r="D142" s="9"/>
      <c r="E142" s="9">
        <f>GFA!D143</f>
        <v>331.1953773900147</v>
      </c>
      <c r="F142" s="9">
        <f>GFA!F143</f>
        <v>0</v>
      </c>
      <c r="G142" s="97">
        <f t="shared" si="210"/>
        <v>298.07583965101321</v>
      </c>
      <c r="H142" s="9">
        <v>148.97265795688998</v>
      </c>
      <c r="I142" s="115">
        <f t="shared" si="240"/>
        <v>0.49978105616109969</v>
      </c>
      <c r="J142" s="116">
        <f t="shared" si="241"/>
        <v>149.10318169412324</v>
      </c>
      <c r="K142" s="97">
        <f t="shared" si="262"/>
        <v>17.487115926192775</v>
      </c>
      <c r="L142" s="9"/>
      <c r="M142" s="9">
        <f>GFA!L143</f>
        <v>331.1953773900147</v>
      </c>
      <c r="N142" s="9">
        <f>GFA!N143</f>
        <v>0</v>
      </c>
      <c r="O142" s="97">
        <f t="shared" si="242"/>
        <v>298.07583965101321</v>
      </c>
      <c r="P142" s="9">
        <f t="shared" si="243"/>
        <v>166.45977388308276</v>
      </c>
      <c r="Q142" s="115">
        <f t="shared" si="244"/>
        <v>0.55844772282776634</v>
      </c>
      <c r="R142" s="116">
        <f t="shared" si="245"/>
        <v>131.61606576793045</v>
      </c>
      <c r="S142" s="97">
        <f t="shared" si="263"/>
        <v>17.487115926192775</v>
      </c>
      <c r="T142" s="9"/>
      <c r="U142" s="9">
        <f>GFA!T143</f>
        <v>331.1953773900147</v>
      </c>
      <c r="V142" s="9">
        <f>GFA!V143</f>
        <v>0</v>
      </c>
      <c r="W142" s="97">
        <f t="shared" si="246"/>
        <v>298.07583965101321</v>
      </c>
      <c r="X142" s="9">
        <f t="shared" si="247"/>
        <v>183.94688980927555</v>
      </c>
      <c r="Y142" s="115">
        <f t="shared" si="248"/>
        <v>0.61711438949443309</v>
      </c>
      <c r="Z142" s="116">
        <f t="shared" si="249"/>
        <v>114.12894984173766</v>
      </c>
      <c r="AA142" s="97">
        <f t="shared" si="264"/>
        <v>17.487115926192775</v>
      </c>
      <c r="AB142" s="9"/>
      <c r="AC142" s="9">
        <f>GFA!AB143</f>
        <v>331.1953773900147</v>
      </c>
      <c r="AD142" s="9">
        <f>GFA!AD143</f>
        <v>0</v>
      </c>
      <c r="AE142" s="97">
        <f t="shared" si="250"/>
        <v>298.07583965101321</v>
      </c>
      <c r="AF142" s="9">
        <f t="shared" si="251"/>
        <v>201.43400573546833</v>
      </c>
      <c r="AG142" s="115">
        <f t="shared" si="252"/>
        <v>0.67578105616109974</v>
      </c>
      <c r="AH142" s="116">
        <f t="shared" si="253"/>
        <v>96.641833915544879</v>
      </c>
      <c r="AI142" s="97">
        <f t="shared" si="265"/>
        <v>17.487115926192775</v>
      </c>
      <c r="AJ142" s="9"/>
      <c r="AK142" s="9">
        <f>GFA!AJ143</f>
        <v>331.1953773900147</v>
      </c>
      <c r="AL142" s="9">
        <f>GFA!AL143</f>
        <v>0</v>
      </c>
      <c r="AM142" s="97">
        <f t="shared" si="254"/>
        <v>298.07583965101321</v>
      </c>
      <c r="AN142" s="9">
        <f t="shared" si="255"/>
        <v>218.92112166166112</v>
      </c>
      <c r="AO142" s="115">
        <f t="shared" si="256"/>
        <v>0.73444772282776649</v>
      </c>
      <c r="AP142" s="116">
        <f t="shared" si="257"/>
        <v>79.154717989352093</v>
      </c>
      <c r="AQ142" s="97">
        <f t="shared" si="266"/>
        <v>7.0547876995857477</v>
      </c>
      <c r="AR142" s="9"/>
      <c r="AS142" s="9">
        <f>GFA!AR143</f>
        <v>331.1953773900147</v>
      </c>
      <c r="AT142" s="9">
        <f>GFA!AT143</f>
        <v>0</v>
      </c>
      <c r="AU142" s="97">
        <f t="shared" si="258"/>
        <v>298.07583965101321</v>
      </c>
      <c r="AV142" s="9">
        <f t="shared" si="259"/>
        <v>225.97590936124686</v>
      </c>
      <c r="AW142" s="115">
        <f t="shared" si="260"/>
        <v>0.75811548371655735</v>
      </c>
      <c r="AX142" s="116">
        <f t="shared" si="261"/>
        <v>72.099930289766348</v>
      </c>
      <c r="AY142" s="97">
        <f t="shared" si="267"/>
        <v>7.0547876995857477</v>
      </c>
    </row>
    <row r="143" spans="2:51" x14ac:dyDescent="0.35">
      <c r="B143" s="7" t="s">
        <v>137</v>
      </c>
      <c r="C143" s="14">
        <v>3.3399999999999999E-2</v>
      </c>
      <c r="D143" s="9"/>
      <c r="E143" s="9">
        <f>GFA!D144</f>
        <v>45.23642918402264</v>
      </c>
      <c r="F143" s="9">
        <f>GFA!F144</f>
        <v>0</v>
      </c>
      <c r="G143" s="97">
        <f t="shared" si="210"/>
        <v>40.71278626562038</v>
      </c>
      <c r="H143" s="9">
        <v>18.97475793863503</v>
      </c>
      <c r="I143" s="115">
        <f t="shared" si="240"/>
        <v>0.46606385067430589</v>
      </c>
      <c r="J143" s="116">
        <f t="shared" si="241"/>
        <v>21.738028326985351</v>
      </c>
      <c r="K143" s="97">
        <f t="shared" si="262"/>
        <v>1.5108967347463562</v>
      </c>
      <c r="L143" s="9"/>
      <c r="M143" s="9">
        <f>GFA!L144</f>
        <v>45.23642918402264</v>
      </c>
      <c r="N143" s="9">
        <f>GFA!N144</f>
        <v>1.4474495664305456</v>
      </c>
      <c r="O143" s="97">
        <f t="shared" si="242"/>
        <v>42.015490875407863</v>
      </c>
      <c r="P143" s="9">
        <f t="shared" si="243"/>
        <v>20.485654673381386</v>
      </c>
      <c r="Q143" s="115">
        <f t="shared" si="244"/>
        <v>0.48757385065735048</v>
      </c>
      <c r="R143" s="116">
        <f t="shared" si="245"/>
        <v>21.529836202026477</v>
      </c>
      <c r="S143" s="97">
        <f t="shared" si="263"/>
        <v>1.5350691425057463</v>
      </c>
      <c r="T143" s="9"/>
      <c r="U143" s="9">
        <f>GFA!T144</f>
        <v>46.683878750453182</v>
      </c>
      <c r="V143" s="9">
        <f>GFA!V144</f>
        <v>1.6141667199999996</v>
      </c>
      <c r="W143" s="97">
        <f t="shared" si="246"/>
        <v>43.468240923407862</v>
      </c>
      <c r="X143" s="9">
        <f t="shared" si="247"/>
        <v>22.020723815887134</v>
      </c>
      <c r="Y143" s="115">
        <f t="shared" si="248"/>
        <v>0.50659339665224101</v>
      </c>
      <c r="Z143" s="116">
        <f t="shared" si="249"/>
        <v>21.447517107520728</v>
      </c>
      <c r="AA143" s="97">
        <f t="shared" si="264"/>
        <v>1.5861981344891363</v>
      </c>
      <c r="AB143" s="9"/>
      <c r="AC143" s="9">
        <f>GFA!AB144</f>
        <v>48.298045470453182</v>
      </c>
      <c r="AD143" s="9">
        <f>GFA!AD144</f>
        <v>0</v>
      </c>
      <c r="AE143" s="97">
        <f t="shared" si="250"/>
        <v>43.468240923407862</v>
      </c>
      <c r="AF143" s="9">
        <f t="shared" si="251"/>
        <v>23.606921950376272</v>
      </c>
      <c r="AG143" s="115">
        <f t="shared" si="252"/>
        <v>0.54308436340850008</v>
      </c>
      <c r="AH143" s="116">
        <f t="shared" si="253"/>
        <v>19.86131897303159</v>
      </c>
      <c r="AI143" s="97">
        <f t="shared" si="265"/>
        <v>1.6131547187131363</v>
      </c>
      <c r="AJ143" s="9"/>
      <c r="AK143" s="9">
        <f>GFA!AJ144</f>
        <v>48.298045470453182</v>
      </c>
      <c r="AL143" s="9">
        <f>GFA!AL144</f>
        <v>0</v>
      </c>
      <c r="AM143" s="97">
        <f t="shared" si="254"/>
        <v>43.468240923407862</v>
      </c>
      <c r="AN143" s="9">
        <f t="shared" si="255"/>
        <v>25.220076669089408</v>
      </c>
      <c r="AO143" s="115">
        <f t="shared" si="256"/>
        <v>0.58019547451961129</v>
      </c>
      <c r="AP143" s="116">
        <f t="shared" si="257"/>
        <v>18.248164254318453</v>
      </c>
      <c r="AQ143" s="97">
        <f t="shared" si="266"/>
        <v>1.6131547187131363</v>
      </c>
      <c r="AR143" s="9"/>
      <c r="AS143" s="9">
        <f>GFA!AR144</f>
        <v>48.298045470453182</v>
      </c>
      <c r="AT143" s="9">
        <f>GFA!AT144</f>
        <v>0</v>
      </c>
      <c r="AU143" s="97">
        <f t="shared" si="258"/>
        <v>43.468240923407862</v>
      </c>
      <c r="AV143" s="9">
        <f t="shared" si="259"/>
        <v>26.833231387802545</v>
      </c>
      <c r="AW143" s="115">
        <f t="shared" si="260"/>
        <v>0.61730658563072238</v>
      </c>
      <c r="AX143" s="116">
        <f t="shared" si="261"/>
        <v>16.635009535605317</v>
      </c>
      <c r="AY143" s="97">
        <f t="shared" si="267"/>
        <v>1.6131547187131363</v>
      </c>
    </row>
    <row r="144" spans="2:51" x14ac:dyDescent="0.35">
      <c r="B144" s="7" t="s">
        <v>138</v>
      </c>
      <c r="C144" s="14">
        <v>5.28E-2</v>
      </c>
      <c r="D144" s="9"/>
      <c r="E144" s="9">
        <f>GFA!D145</f>
        <v>2444.1026798898597</v>
      </c>
      <c r="F144" s="9">
        <f>GFA!F145</f>
        <v>7.2417571022866971</v>
      </c>
      <c r="G144" s="97">
        <f t="shared" si="210"/>
        <v>2206.2099932929318</v>
      </c>
      <c r="H144" s="9">
        <v>1310.17784706506</v>
      </c>
      <c r="I144" s="115">
        <f t="shared" si="240"/>
        <v>0.59385908460577796</v>
      </c>
      <c r="J144" s="116">
        <f t="shared" si="241"/>
        <v>896.03214622787186</v>
      </c>
      <c r="K144" s="97">
        <f t="shared" si="262"/>
        <v>129.23980388568498</v>
      </c>
      <c r="L144" s="9"/>
      <c r="M144" s="9">
        <f>GFA!L145</f>
        <v>2447.6024049921461</v>
      </c>
      <c r="N144" s="9">
        <f>GFA!N145</f>
        <v>5.9356179262118047</v>
      </c>
      <c r="O144" s="97">
        <f t="shared" si="242"/>
        <v>2208.1842206265223</v>
      </c>
      <c r="P144" s="9">
        <f t="shared" si="243"/>
        <v>1439.4176509507449</v>
      </c>
      <c r="Q144" s="115">
        <f t="shared" si="244"/>
        <v>0.65185578155356205</v>
      </c>
      <c r="R144" s="116">
        <f t="shared" si="245"/>
        <v>768.76656967577742</v>
      </c>
      <c r="S144" s="97">
        <f t="shared" si="263"/>
        <v>129.39010729683733</v>
      </c>
      <c r="T144" s="9"/>
      <c r="U144" s="9">
        <f>GFA!T145</f>
        <v>2453.5380229183579</v>
      </c>
      <c r="V144" s="9">
        <f>GFA!V145</f>
        <v>22.045177511999999</v>
      </c>
      <c r="W144" s="97">
        <f t="shared" si="246"/>
        <v>2228.0248803873224</v>
      </c>
      <c r="X144" s="9">
        <f t="shared" si="247"/>
        <v>1568.8077582475823</v>
      </c>
      <c r="Y144" s="115">
        <f t="shared" si="248"/>
        <v>0.70412488301066867</v>
      </c>
      <c r="Z144" s="116">
        <f t="shared" si="249"/>
        <v>659.21712213974001</v>
      </c>
      <c r="AA144" s="97">
        <f t="shared" si="264"/>
        <v>49.865137832052952</v>
      </c>
      <c r="AB144" s="9"/>
      <c r="AC144" s="9">
        <f>GFA!AB145</f>
        <v>2475.5832004303579</v>
      </c>
      <c r="AD144" s="9">
        <f>GFA!AD145</f>
        <v>82.562637080000016</v>
      </c>
      <c r="AE144" s="97">
        <f t="shared" si="250"/>
        <v>2302.3312537593224</v>
      </c>
      <c r="AF144" s="9">
        <f t="shared" si="251"/>
        <v>1618.6728960796354</v>
      </c>
      <c r="AG144" s="115">
        <f t="shared" si="252"/>
        <v>0.70305821259934376</v>
      </c>
      <c r="AH144" s="116">
        <f t="shared" si="253"/>
        <v>683.65835767968701</v>
      </c>
      <c r="AI144" s="97">
        <f t="shared" si="265"/>
        <v>55.945855783935102</v>
      </c>
      <c r="AJ144" s="9"/>
      <c r="AK144" s="9">
        <f>GFA!AJ145</f>
        <v>2558.145837510358</v>
      </c>
      <c r="AL144" s="9">
        <f>GFA!AL145</f>
        <v>44.95</v>
      </c>
      <c r="AM144" s="97">
        <f t="shared" si="254"/>
        <v>2342.7862537593219</v>
      </c>
      <c r="AN144" s="9">
        <f t="shared" si="255"/>
        <v>1674.6187518635704</v>
      </c>
      <c r="AO144" s="115">
        <f t="shared" si="256"/>
        <v>0.71479792455518076</v>
      </c>
      <c r="AP144" s="116">
        <f t="shared" si="257"/>
        <v>668.16750189575146</v>
      </c>
      <c r="AQ144" s="97">
        <f t="shared" si="266"/>
        <v>59.551470757197094</v>
      </c>
      <c r="AR144" s="9"/>
      <c r="AS144" s="9">
        <f>GFA!AR145</f>
        <v>2603.0958375103578</v>
      </c>
      <c r="AT144" s="9">
        <f>GFA!AT145</f>
        <v>381.66</v>
      </c>
      <c r="AU144" s="97">
        <f t="shared" si="258"/>
        <v>2686.280253759322</v>
      </c>
      <c r="AV144" s="9">
        <f t="shared" si="259"/>
        <v>1734.1702226207676</v>
      </c>
      <c r="AW144" s="115">
        <f t="shared" si="260"/>
        <v>0.64556563679231849</v>
      </c>
      <c r="AX144" s="116">
        <f t="shared" si="261"/>
        <v>952.1100311385544</v>
      </c>
      <c r="AY144" s="97">
        <f t="shared" si="267"/>
        <v>147.51928422054689</v>
      </c>
    </row>
    <row r="145" spans="2:51" x14ac:dyDescent="0.35">
      <c r="B145" s="7" t="s">
        <v>139</v>
      </c>
      <c r="C145" s="14">
        <v>0.18</v>
      </c>
      <c r="D145" s="9"/>
      <c r="E145" s="9">
        <f>GFA!D146</f>
        <v>4.530142979972771</v>
      </c>
      <c r="F145" s="9">
        <f>GFA!F146</f>
        <v>0</v>
      </c>
      <c r="G145" s="97">
        <f t="shared" si="210"/>
        <v>4.0771286819754939</v>
      </c>
      <c r="H145" s="9">
        <v>3.5414207061430258</v>
      </c>
      <c r="I145" s="115">
        <f t="shared" si="240"/>
        <v>0.86860655681515031</v>
      </c>
      <c r="J145" s="116">
        <f t="shared" si="241"/>
        <v>0.5357079758324681</v>
      </c>
      <c r="K145" s="97">
        <f t="shared" si="262"/>
        <v>3.5197633103315903E-2</v>
      </c>
      <c r="L145" s="9"/>
      <c r="M145" s="9">
        <f>GFA!L146</f>
        <v>4.530142979972771</v>
      </c>
      <c r="N145" s="9">
        <f>GFA!N146</f>
        <v>0</v>
      </c>
      <c r="O145" s="97">
        <f t="shared" si="242"/>
        <v>4.0771286819754939</v>
      </c>
      <c r="P145" s="9">
        <f t="shared" si="243"/>
        <v>3.5766183392463415</v>
      </c>
      <c r="Q145" s="115">
        <f t="shared" si="244"/>
        <v>0.8772395031479262</v>
      </c>
      <c r="R145" s="116">
        <f t="shared" si="245"/>
        <v>0.5005103427291524</v>
      </c>
      <c r="S145" s="97">
        <f t="shared" si="263"/>
        <v>3.5197633103315917E-2</v>
      </c>
      <c r="T145" s="9"/>
      <c r="U145" s="9">
        <f>GFA!T146</f>
        <v>4.530142979972771</v>
      </c>
      <c r="V145" s="9">
        <f>GFA!V146</f>
        <v>0</v>
      </c>
      <c r="W145" s="97">
        <f t="shared" si="246"/>
        <v>4.0771286819754939</v>
      </c>
      <c r="X145" s="9">
        <f t="shared" si="247"/>
        <v>3.6118159723496577</v>
      </c>
      <c r="Y145" s="115">
        <f t="shared" si="248"/>
        <v>0.88587244948070221</v>
      </c>
      <c r="Z145" s="116">
        <f t="shared" si="249"/>
        <v>0.46531270962583626</v>
      </c>
      <c r="AA145" s="97">
        <f t="shared" si="264"/>
        <v>3.5197633103315903E-2</v>
      </c>
      <c r="AB145" s="9"/>
      <c r="AC145" s="9">
        <f>GFA!AB146</f>
        <v>4.530142979972771</v>
      </c>
      <c r="AD145" s="9">
        <f>GFA!AD146</f>
        <v>0</v>
      </c>
      <c r="AE145" s="97">
        <f t="shared" si="250"/>
        <v>4.0771286819754939</v>
      </c>
      <c r="AF145" s="9">
        <f t="shared" si="251"/>
        <v>3.6470136054529734</v>
      </c>
      <c r="AG145" s="115">
        <f t="shared" si="252"/>
        <v>0.8945053958134781</v>
      </c>
      <c r="AH145" s="116">
        <f t="shared" si="253"/>
        <v>0.43011507652252057</v>
      </c>
      <c r="AI145" s="97">
        <f t="shared" si="265"/>
        <v>3.5197633103315917E-2</v>
      </c>
      <c r="AJ145" s="9"/>
      <c r="AK145" s="9">
        <f>GFA!AJ146</f>
        <v>4.530142979972771</v>
      </c>
      <c r="AL145" s="9">
        <f>GFA!AL146</f>
        <v>0</v>
      </c>
      <c r="AM145" s="97">
        <f t="shared" si="254"/>
        <v>4.0771286819754939</v>
      </c>
      <c r="AN145" s="9">
        <f t="shared" si="255"/>
        <v>3.6822112385562891</v>
      </c>
      <c r="AO145" s="115">
        <f t="shared" si="256"/>
        <v>0.90313834214625399</v>
      </c>
      <c r="AP145" s="116">
        <f t="shared" si="257"/>
        <v>0.39491744341920487</v>
      </c>
      <c r="AQ145" s="97">
        <f t="shared" si="266"/>
        <v>3.5197633103315938E-2</v>
      </c>
      <c r="AR145" s="9"/>
      <c r="AS145" s="9">
        <f>GFA!AR146</f>
        <v>4.530142979972771</v>
      </c>
      <c r="AT145" s="9">
        <f>GFA!AT146</f>
        <v>0</v>
      </c>
      <c r="AU145" s="97">
        <f t="shared" si="258"/>
        <v>4.0771286819754939</v>
      </c>
      <c r="AV145" s="9">
        <f t="shared" si="259"/>
        <v>3.7174088716596052</v>
      </c>
      <c r="AW145" s="115">
        <f t="shared" si="260"/>
        <v>0.91177128847903</v>
      </c>
      <c r="AX145" s="116">
        <f t="shared" si="261"/>
        <v>0.35971981031588873</v>
      </c>
      <c r="AY145" s="97">
        <f t="shared" si="267"/>
        <v>3.5197633103315917E-2</v>
      </c>
    </row>
    <row r="146" spans="2:51" x14ac:dyDescent="0.35">
      <c r="B146" s="7" t="s">
        <v>140</v>
      </c>
      <c r="C146" s="14">
        <v>5.28E-2</v>
      </c>
      <c r="D146" s="9"/>
      <c r="E146" s="9">
        <f>GFA!D147</f>
        <v>9.2497559525249642</v>
      </c>
      <c r="F146" s="9">
        <f>GFA!F147</f>
        <v>0</v>
      </c>
      <c r="G146" s="97">
        <f t="shared" si="210"/>
        <v>8.3247803572724681</v>
      </c>
      <c r="H146" s="9">
        <v>7.0638470922566512</v>
      </c>
      <c r="I146" s="115">
        <f t="shared" si="240"/>
        <v>0.84853254849970006</v>
      </c>
      <c r="J146" s="116">
        <f t="shared" si="241"/>
        <v>1.2609332650158169</v>
      </c>
      <c r="K146" s="97">
        <f t="shared" si="262"/>
        <v>8.2847126479357214E-2</v>
      </c>
      <c r="L146" s="9"/>
      <c r="M146" s="9">
        <f>GFA!L147</f>
        <v>9.2497559525249642</v>
      </c>
      <c r="N146" s="9">
        <f>GFA!N147</f>
        <v>0</v>
      </c>
      <c r="O146" s="97">
        <f t="shared" si="242"/>
        <v>8.3247803572724681</v>
      </c>
      <c r="P146" s="9">
        <f t="shared" si="243"/>
        <v>7.1466942187360081</v>
      </c>
      <c r="Q146" s="115">
        <f t="shared" si="244"/>
        <v>0.85848441784925988</v>
      </c>
      <c r="R146" s="116">
        <f t="shared" si="245"/>
        <v>1.17808613853646</v>
      </c>
      <c r="S146" s="97">
        <f t="shared" si="263"/>
        <v>8.2847126479357242E-2</v>
      </c>
      <c r="T146" s="9"/>
      <c r="U146" s="9">
        <f>GFA!T147</f>
        <v>9.2497559525249642</v>
      </c>
      <c r="V146" s="9">
        <f>GFA!V147</f>
        <v>0</v>
      </c>
      <c r="W146" s="97">
        <f t="shared" si="246"/>
        <v>8.3247803572724681</v>
      </c>
      <c r="X146" s="9">
        <f t="shared" si="247"/>
        <v>7.229541345215365</v>
      </c>
      <c r="Y146" s="115">
        <f t="shared" si="248"/>
        <v>0.8684362871988196</v>
      </c>
      <c r="Z146" s="116">
        <f t="shared" si="249"/>
        <v>1.0952390120571032</v>
      </c>
      <c r="AA146" s="97">
        <f t="shared" si="264"/>
        <v>8.2847126479357269E-2</v>
      </c>
      <c r="AB146" s="9"/>
      <c r="AC146" s="9">
        <f>GFA!AB147</f>
        <v>9.2497559525249642</v>
      </c>
      <c r="AD146" s="9">
        <f>GFA!AD147</f>
        <v>0</v>
      </c>
      <c r="AE146" s="97">
        <f t="shared" si="250"/>
        <v>8.3247803572724681</v>
      </c>
      <c r="AF146" s="9">
        <f t="shared" si="251"/>
        <v>7.3123884716947218</v>
      </c>
      <c r="AG146" s="115">
        <f t="shared" si="252"/>
        <v>0.87838815654837932</v>
      </c>
      <c r="AH146" s="116">
        <f t="shared" si="253"/>
        <v>1.0123918855777463</v>
      </c>
      <c r="AI146" s="97">
        <f t="shared" si="265"/>
        <v>8.2847126479357297E-2</v>
      </c>
      <c r="AJ146" s="9"/>
      <c r="AK146" s="9">
        <f>GFA!AJ147</f>
        <v>9.2497559525249642</v>
      </c>
      <c r="AL146" s="9">
        <f>GFA!AL147</f>
        <v>0</v>
      </c>
      <c r="AM146" s="97">
        <f t="shared" si="254"/>
        <v>8.3247803572724681</v>
      </c>
      <c r="AN146" s="9">
        <f t="shared" si="255"/>
        <v>7.3952355981740787</v>
      </c>
      <c r="AO146" s="115">
        <f t="shared" si="256"/>
        <v>0.88834002589793903</v>
      </c>
      <c r="AP146" s="116">
        <f t="shared" si="257"/>
        <v>0.92954475909838941</v>
      </c>
      <c r="AQ146" s="97">
        <f t="shared" si="266"/>
        <v>8.2847126479357339E-2</v>
      </c>
      <c r="AR146" s="9"/>
      <c r="AS146" s="9">
        <f>GFA!AR147</f>
        <v>9.2497559525249642</v>
      </c>
      <c r="AT146" s="9">
        <f>GFA!AT147</f>
        <v>0</v>
      </c>
      <c r="AU146" s="97">
        <f t="shared" si="258"/>
        <v>8.3247803572724681</v>
      </c>
      <c r="AV146" s="9">
        <f t="shared" si="259"/>
        <v>7.4780827246534365</v>
      </c>
      <c r="AW146" s="115">
        <f t="shared" si="260"/>
        <v>0.89829189524749886</v>
      </c>
      <c r="AX146" s="116">
        <f t="shared" si="261"/>
        <v>0.84669763261903164</v>
      </c>
      <c r="AY146" s="97">
        <f t="shared" si="267"/>
        <v>8.2847126479357297E-2</v>
      </c>
    </row>
    <row r="147" spans="2:51" x14ac:dyDescent="0.35">
      <c r="B147" s="7" t="s">
        <v>141</v>
      </c>
      <c r="C147" s="14">
        <v>5.28E-2</v>
      </c>
      <c r="D147" s="9"/>
      <c r="E147" s="9">
        <f>GFA!D148</f>
        <v>15.271253379965787</v>
      </c>
      <c r="F147" s="9">
        <f>GFA!F148</f>
        <v>0</v>
      </c>
      <c r="G147" s="97">
        <f t="shared" si="210"/>
        <v>13.744128041969208</v>
      </c>
      <c r="H147" s="9">
        <v>9.8971319372851205</v>
      </c>
      <c r="I147" s="115">
        <f t="shared" si="240"/>
        <v>0.72009893294526495</v>
      </c>
      <c r="J147" s="116">
        <f t="shared" si="241"/>
        <v>3.8469961046840879</v>
      </c>
      <c r="K147" s="97">
        <f t="shared" si="262"/>
        <v>0.25275927100421075</v>
      </c>
      <c r="L147" s="9"/>
      <c r="M147" s="9">
        <f>GFA!L148</f>
        <v>15.271253379965787</v>
      </c>
      <c r="N147" s="9">
        <f>GFA!N148</f>
        <v>0</v>
      </c>
      <c r="O147" s="97">
        <f t="shared" si="242"/>
        <v>13.744128041969208</v>
      </c>
      <c r="P147" s="9">
        <f t="shared" si="243"/>
        <v>10.149891208289331</v>
      </c>
      <c r="Q147" s="115">
        <f t="shared" si="244"/>
        <v>0.73848927900667982</v>
      </c>
      <c r="R147" s="116">
        <f t="shared" si="245"/>
        <v>3.5942368336798776</v>
      </c>
      <c r="S147" s="97">
        <f t="shared" si="263"/>
        <v>0.25275927100421081</v>
      </c>
      <c r="T147" s="9"/>
      <c r="U147" s="9">
        <f>GFA!T148</f>
        <v>15.271253379965787</v>
      </c>
      <c r="V147" s="9">
        <f>GFA!V148</f>
        <v>0</v>
      </c>
      <c r="W147" s="97">
        <f t="shared" si="246"/>
        <v>13.744128041969208</v>
      </c>
      <c r="X147" s="9">
        <f t="shared" si="247"/>
        <v>10.402650479293541</v>
      </c>
      <c r="Y147" s="115">
        <f t="shared" si="248"/>
        <v>0.7568796250680947</v>
      </c>
      <c r="Z147" s="116">
        <f t="shared" si="249"/>
        <v>3.3414775626756672</v>
      </c>
      <c r="AA147" s="97">
        <f t="shared" si="264"/>
        <v>0.25275927100421081</v>
      </c>
      <c r="AB147" s="9"/>
      <c r="AC147" s="9">
        <f>GFA!AB148</f>
        <v>15.271253379965787</v>
      </c>
      <c r="AD147" s="9">
        <f>GFA!AD148</f>
        <v>0</v>
      </c>
      <c r="AE147" s="97">
        <f t="shared" si="250"/>
        <v>13.744128041969208</v>
      </c>
      <c r="AF147" s="9">
        <f t="shared" si="251"/>
        <v>10.655409750297752</v>
      </c>
      <c r="AG147" s="115">
        <f t="shared" si="252"/>
        <v>0.77526997112950957</v>
      </c>
      <c r="AH147" s="116">
        <f t="shared" si="253"/>
        <v>3.0887182916714568</v>
      </c>
      <c r="AI147" s="97">
        <f t="shared" si="265"/>
        <v>0.25275927100421086</v>
      </c>
      <c r="AJ147" s="9"/>
      <c r="AK147" s="9">
        <f>GFA!AJ148</f>
        <v>15.271253379965787</v>
      </c>
      <c r="AL147" s="9">
        <f>GFA!AL148</f>
        <v>0</v>
      </c>
      <c r="AM147" s="97">
        <f t="shared" si="254"/>
        <v>13.744128041969208</v>
      </c>
      <c r="AN147" s="9">
        <f t="shared" si="255"/>
        <v>10.908169021301962</v>
      </c>
      <c r="AO147" s="115">
        <f t="shared" si="256"/>
        <v>0.79366031719092445</v>
      </c>
      <c r="AP147" s="116">
        <f t="shared" si="257"/>
        <v>2.8359590206672465</v>
      </c>
      <c r="AQ147" s="97">
        <f t="shared" si="266"/>
        <v>0.25275927100421092</v>
      </c>
      <c r="AR147" s="9"/>
      <c r="AS147" s="9">
        <f>GFA!AR148</f>
        <v>15.271253379965787</v>
      </c>
      <c r="AT147" s="9">
        <f>GFA!AT148</f>
        <v>0</v>
      </c>
      <c r="AU147" s="97">
        <f t="shared" si="258"/>
        <v>13.744128041969208</v>
      </c>
      <c r="AV147" s="9">
        <f t="shared" si="259"/>
        <v>11.160928292306172</v>
      </c>
      <c r="AW147" s="115">
        <f t="shared" si="260"/>
        <v>0.81205066325233943</v>
      </c>
      <c r="AX147" s="116">
        <f t="shared" si="261"/>
        <v>2.5831997496630361</v>
      </c>
      <c r="AY147" s="97">
        <f t="shared" si="267"/>
        <v>0.25275927100421097</v>
      </c>
    </row>
    <row r="148" spans="2:51" x14ac:dyDescent="0.35">
      <c r="B148" s="7" t="s">
        <v>142</v>
      </c>
      <c r="C148" s="14">
        <v>9.5000000000000001E-2</v>
      </c>
      <c r="D148" s="9"/>
      <c r="E148" s="9">
        <f>GFA!D149</f>
        <v>0.41514803235327385</v>
      </c>
      <c r="F148" s="9">
        <f>GFA!F149</f>
        <v>0.30640506516664889</v>
      </c>
      <c r="G148" s="97">
        <f t="shared" si="210"/>
        <v>0.64939778776793045</v>
      </c>
      <c r="H148" s="9">
        <v>0.29192295436473942</v>
      </c>
      <c r="I148" s="115">
        <f t="shared" si="240"/>
        <v>0.44952871701044561</v>
      </c>
      <c r="J148" s="116">
        <f t="shared" si="241"/>
        <v>0.35747483340319103</v>
      </c>
      <c r="K148" s="97">
        <f t="shared" si="262"/>
        <v>5.3993303668976839E-2</v>
      </c>
      <c r="L148" s="9"/>
      <c r="M148" s="9">
        <f>GFA!L149</f>
        <v>0.72155309751992269</v>
      </c>
      <c r="N148" s="9">
        <f>GFA!N149</f>
        <v>0</v>
      </c>
      <c r="O148" s="97">
        <f t="shared" si="242"/>
        <v>0.64939778776793045</v>
      </c>
      <c r="P148" s="9">
        <f t="shared" si="243"/>
        <v>0.34591625803371628</v>
      </c>
      <c r="Q148" s="115">
        <f t="shared" si="244"/>
        <v>0.53267236900002091</v>
      </c>
      <c r="R148" s="116">
        <f t="shared" si="245"/>
        <v>0.30348152973421416</v>
      </c>
      <c r="S148" s="97">
        <f t="shared" si="263"/>
        <v>6.8547544264392662E-2</v>
      </c>
      <c r="T148" s="9"/>
      <c r="U148" s="9">
        <f>GFA!T149</f>
        <v>0.72155309751992269</v>
      </c>
      <c r="V148" s="9">
        <f>GFA!V149</f>
        <v>1.7765</v>
      </c>
      <c r="W148" s="97">
        <f t="shared" si="246"/>
        <v>2.2482477877679301</v>
      </c>
      <c r="X148" s="9">
        <f t="shared" si="247"/>
        <v>0.41446380229810897</v>
      </c>
      <c r="Y148" s="115">
        <f t="shared" si="248"/>
        <v>0.18434969870896231</v>
      </c>
      <c r="Z148" s="116">
        <f t="shared" si="249"/>
        <v>1.8337839854698212</v>
      </c>
      <c r="AA148" s="97">
        <f t="shared" si="264"/>
        <v>0.15293129426439267</v>
      </c>
      <c r="AB148" s="9"/>
      <c r="AC148" s="9">
        <f>GFA!AB149</f>
        <v>2.4980530975199224</v>
      </c>
      <c r="AD148" s="9">
        <f>GFA!AD149</f>
        <v>0</v>
      </c>
      <c r="AE148" s="97">
        <f t="shared" si="250"/>
        <v>2.2482477877679301</v>
      </c>
      <c r="AF148" s="9">
        <f t="shared" si="251"/>
        <v>0.56739509656250164</v>
      </c>
      <c r="AG148" s="115">
        <f t="shared" si="252"/>
        <v>0.25237213604725212</v>
      </c>
      <c r="AH148" s="116">
        <f t="shared" si="253"/>
        <v>1.6808526912054285</v>
      </c>
      <c r="AI148" s="97">
        <f t="shared" si="265"/>
        <v>0.23731504426439262</v>
      </c>
      <c r="AJ148" s="9"/>
      <c r="AK148" s="9">
        <f>GFA!AJ149</f>
        <v>2.4980530975199224</v>
      </c>
      <c r="AL148" s="9">
        <f>GFA!AL149</f>
        <v>0</v>
      </c>
      <c r="AM148" s="97">
        <f t="shared" si="254"/>
        <v>2.2482477877679301</v>
      </c>
      <c r="AN148" s="9">
        <f t="shared" si="255"/>
        <v>0.80471014082689429</v>
      </c>
      <c r="AO148" s="115">
        <f t="shared" si="256"/>
        <v>0.35792769160280768</v>
      </c>
      <c r="AP148" s="116">
        <f t="shared" si="257"/>
        <v>1.4435376469410359</v>
      </c>
      <c r="AQ148" s="97">
        <f t="shared" si="266"/>
        <v>0.23731504426439262</v>
      </c>
      <c r="AR148" s="9"/>
      <c r="AS148" s="9">
        <f>GFA!AR149</f>
        <v>2.4980530975199224</v>
      </c>
      <c r="AT148" s="9">
        <f>GFA!AT149</f>
        <v>0</v>
      </c>
      <c r="AU148" s="97">
        <f t="shared" si="258"/>
        <v>2.2482477877679301</v>
      </c>
      <c r="AV148" s="9">
        <f t="shared" si="259"/>
        <v>1.0420251850912869</v>
      </c>
      <c r="AW148" s="115">
        <f t="shared" si="260"/>
        <v>0.46348324715836325</v>
      </c>
      <c r="AX148" s="116">
        <f t="shared" si="261"/>
        <v>1.2062226026766432</v>
      </c>
      <c r="AY148" s="97">
        <f t="shared" si="267"/>
        <v>0.23731504426439262</v>
      </c>
    </row>
    <row r="149" spans="2:51" x14ac:dyDescent="0.35">
      <c r="B149" s="7" t="s">
        <v>143</v>
      </c>
      <c r="C149" s="14">
        <v>6.3299999999999995E-2</v>
      </c>
      <c r="D149" s="9"/>
      <c r="E149" s="9">
        <f>GFA!D150</f>
        <v>11.916632868252782</v>
      </c>
      <c r="F149" s="9">
        <f>GFA!F150</f>
        <v>0.28484877172905321</v>
      </c>
      <c r="G149" s="97">
        <f t="shared" si="210"/>
        <v>10.98133347598365</v>
      </c>
      <c r="H149" s="9">
        <v>7.7879596648645437</v>
      </c>
      <c r="I149" s="115">
        <f t="shared" si="240"/>
        <v>0.70919981456686787</v>
      </c>
      <c r="J149" s="116">
        <f t="shared" si="241"/>
        <v>3.1933738111191063</v>
      </c>
      <c r="K149" s="97">
        <f t="shared" si="262"/>
        <v>0.20981431084882432</v>
      </c>
      <c r="L149" s="9"/>
      <c r="M149" s="9">
        <f>GFA!L150</f>
        <v>12.201481639981834</v>
      </c>
      <c r="N149" s="9">
        <f>GFA!N150</f>
        <v>0.1216446560210058</v>
      </c>
      <c r="O149" s="97">
        <f t="shared" si="242"/>
        <v>11.090813666402557</v>
      </c>
      <c r="P149" s="9">
        <f t="shared" si="243"/>
        <v>7.9977739757133683</v>
      </c>
      <c r="Q149" s="115">
        <f t="shared" si="244"/>
        <v>0.72111697268353314</v>
      </c>
      <c r="R149" s="116">
        <f t="shared" si="245"/>
        <v>3.0930396906891886</v>
      </c>
      <c r="S149" s="97">
        <f t="shared" si="263"/>
        <v>0.21751333971091338</v>
      </c>
      <c r="T149" s="9"/>
      <c r="U149" s="9">
        <f>GFA!T150</f>
        <v>12.32312629600284</v>
      </c>
      <c r="V149" s="9">
        <f>GFA!V150</f>
        <v>0.12928772699999996</v>
      </c>
      <c r="W149" s="97">
        <f t="shared" si="246"/>
        <v>11.207172620702556</v>
      </c>
      <c r="X149" s="9">
        <f t="shared" si="247"/>
        <v>8.2152873154242823</v>
      </c>
      <c r="Y149" s="115">
        <f t="shared" si="248"/>
        <v>0.73303834905233056</v>
      </c>
      <c r="Z149" s="116">
        <f t="shared" si="249"/>
        <v>2.9918853052782737</v>
      </c>
      <c r="AA149" s="97">
        <f t="shared" si="264"/>
        <v>0.22631507604222947</v>
      </c>
      <c r="AB149" s="9"/>
      <c r="AC149" s="9">
        <f>GFA!AB150</f>
        <v>12.45241402300284</v>
      </c>
      <c r="AD149" s="9">
        <f>GFA!AD150</f>
        <v>0</v>
      </c>
      <c r="AE149" s="97">
        <f t="shared" si="250"/>
        <v>11.207172620702556</v>
      </c>
      <c r="AF149" s="9">
        <f t="shared" si="251"/>
        <v>8.4416023914665121</v>
      </c>
      <c r="AG149" s="115">
        <f t="shared" si="252"/>
        <v>0.7532321199258305</v>
      </c>
      <c r="AH149" s="116">
        <f t="shared" si="253"/>
        <v>2.7655702292360438</v>
      </c>
      <c r="AI149" s="97">
        <f t="shared" si="265"/>
        <v>0.22631507604222942</v>
      </c>
      <c r="AJ149" s="9"/>
      <c r="AK149" s="9">
        <f>GFA!AJ150</f>
        <v>12.45241402300284</v>
      </c>
      <c r="AL149" s="9">
        <f>GFA!AL150</f>
        <v>0</v>
      </c>
      <c r="AM149" s="97">
        <f t="shared" si="254"/>
        <v>11.207172620702556</v>
      </c>
      <c r="AN149" s="9">
        <f t="shared" si="255"/>
        <v>8.667917467508742</v>
      </c>
      <c r="AO149" s="115">
        <f t="shared" si="256"/>
        <v>0.77342589079933055</v>
      </c>
      <c r="AP149" s="116">
        <f t="shared" si="257"/>
        <v>2.5392551531938139</v>
      </c>
      <c r="AQ149" s="97">
        <f t="shared" si="266"/>
        <v>0.22631507604222939</v>
      </c>
      <c r="AR149" s="9"/>
      <c r="AS149" s="9">
        <f>GFA!AR150</f>
        <v>12.45241402300284</v>
      </c>
      <c r="AT149" s="9">
        <f>GFA!AT150</f>
        <v>0</v>
      </c>
      <c r="AU149" s="97">
        <f t="shared" si="258"/>
        <v>11.207172620702556</v>
      </c>
      <c r="AV149" s="9">
        <f t="shared" si="259"/>
        <v>8.8942325435509719</v>
      </c>
      <c r="AW149" s="115">
        <f t="shared" si="260"/>
        <v>0.79361966167283049</v>
      </c>
      <c r="AX149" s="116">
        <f t="shared" si="261"/>
        <v>2.312940077151584</v>
      </c>
      <c r="AY149" s="97">
        <f t="shared" si="267"/>
        <v>0.22631507604222934</v>
      </c>
    </row>
    <row r="150" spans="2:51" x14ac:dyDescent="0.35">
      <c r="B150" s="7" t="s">
        <v>144</v>
      </c>
      <c r="C150" s="14">
        <v>6.3299999999999995E-2</v>
      </c>
      <c r="D150" s="9"/>
      <c r="E150" s="9">
        <f>GFA!D151</f>
        <v>1.2828215334536546</v>
      </c>
      <c r="F150" s="9">
        <f>GFA!F151</f>
        <v>0.5787705923826979</v>
      </c>
      <c r="G150" s="97">
        <f t="shared" si="210"/>
        <v>1.6754329132527173</v>
      </c>
      <c r="H150" s="9">
        <v>0.23807346861964196</v>
      </c>
      <c r="I150" s="115">
        <f t="shared" si="240"/>
        <v>0.14209668840600823</v>
      </c>
      <c r="J150" s="116">
        <f t="shared" si="241"/>
        <v>1.4373594446330753</v>
      </c>
      <c r="K150" s="97">
        <f t="shared" si="262"/>
        <v>9.9520692316528714E-2</v>
      </c>
      <c r="L150" s="9"/>
      <c r="M150" s="9">
        <f>GFA!L151</f>
        <v>1.8615921258363524</v>
      </c>
      <c r="N150" s="9">
        <f>GFA!N151</f>
        <v>0.88645600376540346</v>
      </c>
      <c r="O150" s="97">
        <f t="shared" si="242"/>
        <v>2.4732433166415801</v>
      </c>
      <c r="P150" s="9">
        <f t="shared" si="243"/>
        <v>0.33759416093617067</v>
      </c>
      <c r="Q150" s="115">
        <f t="shared" si="244"/>
        <v>0.13649856391589896</v>
      </c>
      <c r="R150" s="116">
        <f t="shared" si="245"/>
        <v>2.1356491557054094</v>
      </c>
      <c r="S150" s="97">
        <f t="shared" si="263"/>
        <v>0.14589511408461614</v>
      </c>
      <c r="T150" s="9"/>
      <c r="U150" s="9">
        <f>GFA!T151</f>
        <v>2.7480481296017558</v>
      </c>
      <c r="V150" s="9">
        <f>GFA!V151</f>
        <v>0.30707588799999991</v>
      </c>
      <c r="W150" s="97">
        <f t="shared" si="246"/>
        <v>2.7496116158415802</v>
      </c>
      <c r="X150" s="9">
        <f t="shared" si="247"/>
        <v>0.48348927502078681</v>
      </c>
      <c r="Y150" s="115">
        <f t="shared" si="248"/>
        <v>0.17583911569009142</v>
      </c>
      <c r="Z150" s="116">
        <f t="shared" si="249"/>
        <v>2.2661223408207936</v>
      </c>
      <c r="AA150" s="97">
        <f t="shared" si="264"/>
        <v>0.18367039845899114</v>
      </c>
      <c r="AB150" s="9"/>
      <c r="AC150" s="9">
        <f>GFA!AB151</f>
        <v>3.0551240176017558</v>
      </c>
      <c r="AD150" s="9">
        <f>GFA!AD151</f>
        <v>0</v>
      </c>
      <c r="AE150" s="97">
        <f t="shared" si="250"/>
        <v>2.7496116158415802</v>
      </c>
      <c r="AF150" s="9">
        <f t="shared" si="251"/>
        <v>0.667159673479778</v>
      </c>
      <c r="AG150" s="115">
        <f t="shared" si="252"/>
        <v>0.24263778550978329</v>
      </c>
      <c r="AH150" s="116">
        <f t="shared" si="253"/>
        <v>2.0824519423618022</v>
      </c>
      <c r="AI150" s="97">
        <f t="shared" si="265"/>
        <v>0.19338935031419113</v>
      </c>
      <c r="AJ150" s="9"/>
      <c r="AK150" s="9">
        <f>GFA!AJ151</f>
        <v>3.0551240176017558</v>
      </c>
      <c r="AL150" s="9">
        <f>GFA!AL151</f>
        <v>0</v>
      </c>
      <c r="AM150" s="97">
        <f t="shared" si="254"/>
        <v>2.7496116158415802</v>
      </c>
      <c r="AN150" s="9">
        <f t="shared" si="255"/>
        <v>0.86054902379396914</v>
      </c>
      <c r="AO150" s="115">
        <f t="shared" si="256"/>
        <v>0.31297111884311662</v>
      </c>
      <c r="AP150" s="116">
        <f t="shared" si="257"/>
        <v>1.889062592047611</v>
      </c>
      <c r="AQ150" s="97">
        <f t="shared" si="266"/>
        <v>0.19338935031419113</v>
      </c>
      <c r="AR150" s="9"/>
      <c r="AS150" s="9">
        <f>GFA!AR151</f>
        <v>3.0551240176017558</v>
      </c>
      <c r="AT150" s="9">
        <f>GFA!AT151</f>
        <v>0</v>
      </c>
      <c r="AU150" s="97">
        <f t="shared" si="258"/>
        <v>2.7496116158415802</v>
      </c>
      <c r="AV150" s="9">
        <f t="shared" si="259"/>
        <v>1.0539383741081603</v>
      </c>
      <c r="AW150" s="115">
        <f t="shared" si="260"/>
        <v>0.38330445217644998</v>
      </c>
      <c r="AX150" s="116">
        <f t="shared" si="261"/>
        <v>1.6956732417334199</v>
      </c>
      <c r="AY150" s="97">
        <f t="shared" si="267"/>
        <v>0.19338935031419113</v>
      </c>
    </row>
    <row r="151" spans="2:51" x14ac:dyDescent="0.35">
      <c r="B151" s="7" t="s">
        <v>145</v>
      </c>
      <c r="C151" s="14">
        <v>6.3299999999999995E-2</v>
      </c>
      <c r="D151" s="9"/>
      <c r="E151" s="9">
        <f>GFA!D152</f>
        <v>0</v>
      </c>
      <c r="F151" s="9">
        <f>GFA!F152</f>
        <v>0</v>
      </c>
      <c r="G151" s="97">
        <f t="shared" si="210"/>
        <v>0</v>
      </c>
      <c r="H151" s="9">
        <v>0</v>
      </c>
      <c r="I151" s="115">
        <f t="shared" si="240"/>
        <v>0</v>
      </c>
      <c r="J151" s="116">
        <f t="shared" si="241"/>
        <v>0</v>
      </c>
      <c r="K151" s="97">
        <f t="shared" si="262"/>
        <v>0</v>
      </c>
      <c r="L151" s="9"/>
      <c r="M151" s="9">
        <f>GFA!L152</f>
        <v>0</v>
      </c>
      <c r="N151" s="9">
        <f>GFA!N152</f>
        <v>0</v>
      </c>
      <c r="O151" s="97">
        <f t="shared" si="242"/>
        <v>0</v>
      </c>
      <c r="P151" s="9">
        <f t="shared" si="243"/>
        <v>0</v>
      </c>
      <c r="Q151" s="115">
        <f t="shared" si="244"/>
        <v>0</v>
      </c>
      <c r="R151" s="116">
        <f t="shared" si="245"/>
        <v>0</v>
      </c>
      <c r="S151" s="97">
        <f t="shared" si="263"/>
        <v>0</v>
      </c>
      <c r="T151" s="9"/>
      <c r="U151" s="9">
        <f>GFA!T152</f>
        <v>0</v>
      </c>
      <c r="V151" s="9">
        <f>GFA!V152</f>
        <v>0</v>
      </c>
      <c r="W151" s="97">
        <f t="shared" si="246"/>
        <v>0</v>
      </c>
      <c r="X151" s="9">
        <f t="shared" si="247"/>
        <v>0</v>
      </c>
      <c r="Y151" s="115">
        <f t="shared" si="248"/>
        <v>0</v>
      </c>
      <c r="Z151" s="116">
        <f t="shared" si="249"/>
        <v>0</v>
      </c>
      <c r="AA151" s="97">
        <f t="shared" si="264"/>
        <v>0</v>
      </c>
      <c r="AB151" s="9"/>
      <c r="AC151" s="9">
        <f>GFA!AB152</f>
        <v>0</v>
      </c>
      <c r="AD151" s="9">
        <f>GFA!AD152</f>
        <v>0</v>
      </c>
      <c r="AE151" s="97">
        <f t="shared" si="250"/>
        <v>0</v>
      </c>
      <c r="AF151" s="9">
        <f t="shared" si="251"/>
        <v>0</v>
      </c>
      <c r="AG151" s="115">
        <f t="shared" si="252"/>
        <v>0</v>
      </c>
      <c r="AH151" s="116">
        <f t="shared" si="253"/>
        <v>0</v>
      </c>
      <c r="AI151" s="97">
        <f t="shared" si="265"/>
        <v>0</v>
      </c>
      <c r="AJ151" s="9"/>
      <c r="AK151" s="9">
        <f>GFA!AJ152</f>
        <v>0</v>
      </c>
      <c r="AL151" s="9">
        <f>GFA!AL152</f>
        <v>0</v>
      </c>
      <c r="AM151" s="97">
        <f t="shared" si="254"/>
        <v>0</v>
      </c>
      <c r="AN151" s="9">
        <f t="shared" si="255"/>
        <v>0</v>
      </c>
      <c r="AO151" s="115">
        <f t="shared" si="256"/>
        <v>0</v>
      </c>
      <c r="AP151" s="116">
        <f t="shared" si="257"/>
        <v>0</v>
      </c>
      <c r="AQ151" s="97">
        <f t="shared" si="266"/>
        <v>0</v>
      </c>
      <c r="AR151" s="9"/>
      <c r="AS151" s="9">
        <f>GFA!AR152</f>
        <v>0</v>
      </c>
      <c r="AT151" s="9">
        <f>GFA!AT152</f>
        <v>0</v>
      </c>
      <c r="AU151" s="97">
        <f t="shared" si="258"/>
        <v>0</v>
      </c>
      <c r="AV151" s="9">
        <f t="shared" si="259"/>
        <v>0</v>
      </c>
      <c r="AW151" s="115">
        <f t="shared" si="260"/>
        <v>0</v>
      </c>
      <c r="AX151" s="116">
        <f t="shared" si="261"/>
        <v>0</v>
      </c>
      <c r="AY151" s="97">
        <f t="shared" si="267"/>
        <v>0</v>
      </c>
    </row>
    <row r="152" spans="2:51" x14ac:dyDescent="0.35">
      <c r="B152" s="7" t="s">
        <v>146</v>
      </c>
      <c r="C152" s="14">
        <v>0.15</v>
      </c>
      <c r="D152" s="9"/>
      <c r="E152" s="9">
        <f>GFA!D153</f>
        <v>0</v>
      </c>
      <c r="F152" s="9">
        <f>GFA!F153</f>
        <v>0</v>
      </c>
      <c r="G152" s="97">
        <f t="shared" si="210"/>
        <v>0</v>
      </c>
      <c r="H152" s="9">
        <v>0</v>
      </c>
      <c r="I152" s="115">
        <f t="shared" si="240"/>
        <v>0</v>
      </c>
      <c r="J152" s="116">
        <f t="shared" si="241"/>
        <v>0</v>
      </c>
      <c r="K152" s="97">
        <f t="shared" si="262"/>
        <v>0</v>
      </c>
      <c r="L152" s="9"/>
      <c r="M152" s="9">
        <f>GFA!L153</f>
        <v>0</v>
      </c>
      <c r="N152" s="9">
        <f>GFA!N153</f>
        <v>0</v>
      </c>
      <c r="O152" s="97">
        <f t="shared" si="242"/>
        <v>0</v>
      </c>
      <c r="P152" s="9">
        <f t="shared" si="243"/>
        <v>0</v>
      </c>
      <c r="Q152" s="115">
        <f t="shared" si="244"/>
        <v>0</v>
      </c>
      <c r="R152" s="116">
        <f t="shared" si="245"/>
        <v>0</v>
      </c>
      <c r="S152" s="97">
        <f t="shared" si="263"/>
        <v>0</v>
      </c>
      <c r="T152" s="9"/>
      <c r="U152" s="9">
        <f>GFA!T153</f>
        <v>0</v>
      </c>
      <c r="V152" s="9">
        <f>GFA!V153</f>
        <v>0</v>
      </c>
      <c r="W152" s="97">
        <f t="shared" si="246"/>
        <v>0</v>
      </c>
      <c r="X152" s="9">
        <f t="shared" si="247"/>
        <v>0</v>
      </c>
      <c r="Y152" s="115">
        <f t="shared" si="248"/>
        <v>0</v>
      </c>
      <c r="Z152" s="116">
        <f t="shared" si="249"/>
        <v>0</v>
      </c>
      <c r="AA152" s="97">
        <f t="shared" si="264"/>
        <v>0</v>
      </c>
      <c r="AB152" s="9"/>
      <c r="AC152" s="9">
        <f>GFA!AB153</f>
        <v>0</v>
      </c>
      <c r="AD152" s="9">
        <f>GFA!AD153</f>
        <v>0</v>
      </c>
      <c r="AE152" s="97">
        <f t="shared" si="250"/>
        <v>0</v>
      </c>
      <c r="AF152" s="9">
        <f t="shared" si="251"/>
        <v>0</v>
      </c>
      <c r="AG152" s="115">
        <f t="shared" si="252"/>
        <v>0</v>
      </c>
      <c r="AH152" s="116">
        <f t="shared" si="253"/>
        <v>0</v>
      </c>
      <c r="AI152" s="97">
        <f t="shared" si="265"/>
        <v>0</v>
      </c>
      <c r="AJ152" s="9"/>
      <c r="AK152" s="9">
        <f>GFA!AJ153</f>
        <v>0</v>
      </c>
      <c r="AL152" s="9">
        <f>GFA!AL153</f>
        <v>0</v>
      </c>
      <c r="AM152" s="97">
        <f t="shared" si="254"/>
        <v>0</v>
      </c>
      <c r="AN152" s="9">
        <f t="shared" si="255"/>
        <v>0</v>
      </c>
      <c r="AO152" s="115">
        <f t="shared" si="256"/>
        <v>0</v>
      </c>
      <c r="AP152" s="116">
        <f t="shared" si="257"/>
        <v>0</v>
      </c>
      <c r="AQ152" s="97">
        <f t="shared" si="266"/>
        <v>0</v>
      </c>
      <c r="AR152" s="9"/>
      <c r="AS152" s="9">
        <f>GFA!AR153</f>
        <v>0</v>
      </c>
      <c r="AT152" s="9">
        <f>GFA!AT153</f>
        <v>0</v>
      </c>
      <c r="AU152" s="97">
        <f t="shared" si="258"/>
        <v>0</v>
      </c>
      <c r="AV152" s="9">
        <f t="shared" si="259"/>
        <v>0</v>
      </c>
      <c r="AW152" s="115">
        <f t="shared" si="260"/>
        <v>0</v>
      </c>
      <c r="AX152" s="116">
        <f t="shared" si="261"/>
        <v>0</v>
      </c>
      <c r="AY152" s="97">
        <f t="shared" si="267"/>
        <v>0</v>
      </c>
    </row>
    <row r="153" spans="2:51" x14ac:dyDescent="0.35">
      <c r="B153" s="7" t="s">
        <v>147</v>
      </c>
      <c r="C153" s="14">
        <v>0.3</v>
      </c>
      <c r="D153" s="9"/>
      <c r="E153" s="9">
        <f>GFA!D154</f>
        <v>0</v>
      </c>
      <c r="F153" s="9">
        <f>GFA!F154</f>
        <v>0</v>
      </c>
      <c r="G153" s="97">
        <f t="shared" si="210"/>
        <v>0</v>
      </c>
      <c r="H153" s="9">
        <v>0</v>
      </c>
      <c r="I153" s="115">
        <f t="shared" si="240"/>
        <v>0</v>
      </c>
      <c r="J153" s="116">
        <f t="shared" si="241"/>
        <v>0</v>
      </c>
      <c r="K153" s="97">
        <f t="shared" si="262"/>
        <v>0</v>
      </c>
      <c r="L153" s="9"/>
      <c r="M153" s="9">
        <f>GFA!L154</f>
        <v>0</v>
      </c>
      <c r="N153" s="9">
        <f>GFA!N154</f>
        <v>0</v>
      </c>
      <c r="O153" s="97">
        <f t="shared" si="242"/>
        <v>0</v>
      </c>
      <c r="P153" s="9">
        <f t="shared" si="243"/>
        <v>0</v>
      </c>
      <c r="Q153" s="115">
        <f t="shared" si="244"/>
        <v>0</v>
      </c>
      <c r="R153" s="116">
        <f t="shared" si="245"/>
        <v>0</v>
      </c>
      <c r="S153" s="97">
        <f t="shared" si="263"/>
        <v>0</v>
      </c>
      <c r="T153" s="9"/>
      <c r="U153" s="9">
        <f>GFA!T154</f>
        <v>0</v>
      </c>
      <c r="V153" s="9">
        <f>GFA!V154</f>
        <v>0</v>
      </c>
      <c r="W153" s="97">
        <f t="shared" si="246"/>
        <v>0</v>
      </c>
      <c r="X153" s="9">
        <f t="shared" si="247"/>
        <v>0</v>
      </c>
      <c r="Y153" s="115">
        <f t="shared" si="248"/>
        <v>0</v>
      </c>
      <c r="Z153" s="116">
        <f t="shared" si="249"/>
        <v>0</v>
      </c>
      <c r="AA153" s="97">
        <f t="shared" si="264"/>
        <v>0</v>
      </c>
      <c r="AB153" s="9"/>
      <c r="AC153" s="9">
        <f>GFA!AB154</f>
        <v>0</v>
      </c>
      <c r="AD153" s="9">
        <f>GFA!AD154</f>
        <v>0</v>
      </c>
      <c r="AE153" s="97">
        <f t="shared" si="250"/>
        <v>0</v>
      </c>
      <c r="AF153" s="9">
        <f t="shared" si="251"/>
        <v>0</v>
      </c>
      <c r="AG153" s="115">
        <f t="shared" si="252"/>
        <v>0</v>
      </c>
      <c r="AH153" s="116">
        <f t="shared" si="253"/>
        <v>0</v>
      </c>
      <c r="AI153" s="97">
        <f t="shared" si="265"/>
        <v>0</v>
      </c>
      <c r="AJ153" s="9"/>
      <c r="AK153" s="9">
        <f>GFA!AJ154</f>
        <v>0</v>
      </c>
      <c r="AL153" s="9">
        <f>GFA!AL154</f>
        <v>0</v>
      </c>
      <c r="AM153" s="97">
        <f t="shared" si="254"/>
        <v>0</v>
      </c>
      <c r="AN153" s="9">
        <f t="shared" si="255"/>
        <v>0</v>
      </c>
      <c r="AO153" s="115">
        <f t="shared" si="256"/>
        <v>0</v>
      </c>
      <c r="AP153" s="116">
        <f t="shared" si="257"/>
        <v>0</v>
      </c>
      <c r="AQ153" s="97">
        <f t="shared" si="266"/>
        <v>0</v>
      </c>
      <c r="AR153" s="9"/>
      <c r="AS153" s="9">
        <f>GFA!AR154</f>
        <v>0</v>
      </c>
      <c r="AT153" s="9">
        <f>GFA!AT154</f>
        <v>0</v>
      </c>
      <c r="AU153" s="97">
        <f t="shared" si="258"/>
        <v>0</v>
      </c>
      <c r="AV153" s="9">
        <f t="shared" si="259"/>
        <v>0</v>
      </c>
      <c r="AW153" s="115">
        <f t="shared" si="260"/>
        <v>0</v>
      </c>
      <c r="AX153" s="116">
        <f t="shared" si="261"/>
        <v>0</v>
      </c>
      <c r="AY153" s="97">
        <f t="shared" si="267"/>
        <v>0</v>
      </c>
    </row>
    <row r="154" spans="2:51" x14ac:dyDescent="0.35">
      <c r="B154" s="7" t="s">
        <v>148</v>
      </c>
      <c r="C154" s="14">
        <v>0.3</v>
      </c>
      <c r="D154" s="9"/>
      <c r="E154" s="9">
        <f>GFA!D155</f>
        <v>0</v>
      </c>
      <c r="F154" s="9">
        <f>GFA!F155</f>
        <v>0</v>
      </c>
      <c r="G154" s="97">
        <f t="shared" si="210"/>
        <v>0</v>
      </c>
      <c r="H154" s="9">
        <v>0</v>
      </c>
      <c r="I154" s="115">
        <f t="shared" si="240"/>
        <v>0</v>
      </c>
      <c r="J154" s="116">
        <f t="shared" si="241"/>
        <v>0</v>
      </c>
      <c r="K154" s="97">
        <f t="shared" si="262"/>
        <v>0</v>
      </c>
      <c r="L154" s="9"/>
      <c r="M154" s="9">
        <f>GFA!L155</f>
        <v>0</v>
      </c>
      <c r="N154" s="9">
        <f>GFA!N155</f>
        <v>0</v>
      </c>
      <c r="O154" s="97">
        <f t="shared" si="242"/>
        <v>0</v>
      </c>
      <c r="P154" s="9">
        <f t="shared" si="243"/>
        <v>0</v>
      </c>
      <c r="Q154" s="115">
        <f t="shared" si="244"/>
        <v>0</v>
      </c>
      <c r="R154" s="116">
        <f t="shared" si="245"/>
        <v>0</v>
      </c>
      <c r="S154" s="97">
        <f t="shared" si="263"/>
        <v>0</v>
      </c>
      <c r="T154" s="9"/>
      <c r="U154" s="9">
        <f>GFA!T155</f>
        <v>0</v>
      </c>
      <c r="V154" s="9">
        <f>GFA!V155</f>
        <v>0</v>
      </c>
      <c r="W154" s="97">
        <f t="shared" si="246"/>
        <v>0</v>
      </c>
      <c r="X154" s="9">
        <f t="shared" si="247"/>
        <v>0</v>
      </c>
      <c r="Y154" s="115">
        <f t="shared" si="248"/>
        <v>0</v>
      </c>
      <c r="Z154" s="116">
        <f t="shared" si="249"/>
        <v>0</v>
      </c>
      <c r="AA154" s="97">
        <f t="shared" si="264"/>
        <v>0</v>
      </c>
      <c r="AB154" s="9"/>
      <c r="AC154" s="9">
        <f>GFA!AB155</f>
        <v>0</v>
      </c>
      <c r="AD154" s="9">
        <f>GFA!AD155</f>
        <v>0</v>
      </c>
      <c r="AE154" s="97">
        <f t="shared" si="250"/>
        <v>0</v>
      </c>
      <c r="AF154" s="9">
        <f t="shared" si="251"/>
        <v>0</v>
      </c>
      <c r="AG154" s="115">
        <f t="shared" si="252"/>
        <v>0</v>
      </c>
      <c r="AH154" s="116">
        <f t="shared" si="253"/>
        <v>0</v>
      </c>
      <c r="AI154" s="97">
        <f t="shared" si="265"/>
        <v>0</v>
      </c>
      <c r="AJ154" s="9"/>
      <c r="AK154" s="9">
        <f>GFA!AJ155</f>
        <v>0</v>
      </c>
      <c r="AL154" s="9">
        <f>GFA!AL155</f>
        <v>0</v>
      </c>
      <c r="AM154" s="97">
        <f t="shared" si="254"/>
        <v>0</v>
      </c>
      <c r="AN154" s="9">
        <f t="shared" si="255"/>
        <v>0</v>
      </c>
      <c r="AO154" s="115">
        <f t="shared" si="256"/>
        <v>0</v>
      </c>
      <c r="AP154" s="116">
        <f t="shared" si="257"/>
        <v>0</v>
      </c>
      <c r="AQ154" s="97">
        <f t="shared" si="266"/>
        <v>0</v>
      </c>
      <c r="AR154" s="9"/>
      <c r="AS154" s="9">
        <f>GFA!AR155</f>
        <v>0</v>
      </c>
      <c r="AT154" s="9">
        <f>GFA!AT155</f>
        <v>0</v>
      </c>
      <c r="AU154" s="97">
        <f t="shared" si="258"/>
        <v>0</v>
      </c>
      <c r="AV154" s="9">
        <f t="shared" si="259"/>
        <v>0</v>
      </c>
      <c r="AW154" s="115">
        <f t="shared" si="260"/>
        <v>0</v>
      </c>
      <c r="AX154" s="116">
        <f t="shared" si="261"/>
        <v>0</v>
      </c>
      <c r="AY154" s="97">
        <f t="shared" si="267"/>
        <v>0</v>
      </c>
    </row>
    <row r="155" spans="2:51" ht="31" x14ac:dyDescent="0.35">
      <c r="B155" s="84" t="s">
        <v>149</v>
      </c>
      <c r="C155" s="117">
        <v>3.3399999999999999E-2</v>
      </c>
      <c r="D155" s="9"/>
      <c r="E155" s="9">
        <f>GFA!D156</f>
        <v>0</v>
      </c>
      <c r="F155" s="9">
        <f>GFA!F156</f>
        <v>0</v>
      </c>
      <c r="G155" s="97">
        <f t="shared" si="210"/>
        <v>0</v>
      </c>
      <c r="H155" s="9">
        <v>0</v>
      </c>
      <c r="I155" s="115">
        <f t="shared" si="240"/>
        <v>0</v>
      </c>
      <c r="J155" s="116">
        <f t="shared" si="241"/>
        <v>0</v>
      </c>
      <c r="K155" s="97">
        <f t="shared" si="262"/>
        <v>0</v>
      </c>
      <c r="L155" s="9"/>
      <c r="M155" s="9">
        <f>GFA!L156</f>
        <v>0</v>
      </c>
      <c r="N155" s="9">
        <f>GFA!N156</f>
        <v>0</v>
      </c>
      <c r="O155" s="97">
        <f t="shared" si="242"/>
        <v>0</v>
      </c>
      <c r="P155" s="9">
        <f t="shared" si="243"/>
        <v>0</v>
      </c>
      <c r="Q155" s="115">
        <f t="shared" si="244"/>
        <v>0</v>
      </c>
      <c r="R155" s="116">
        <f t="shared" si="245"/>
        <v>0</v>
      </c>
      <c r="S155" s="97">
        <f t="shared" si="263"/>
        <v>0</v>
      </c>
      <c r="T155" s="9"/>
      <c r="U155" s="9">
        <f>GFA!T156</f>
        <v>0</v>
      </c>
      <c r="V155" s="9">
        <f>GFA!V156</f>
        <v>0</v>
      </c>
      <c r="W155" s="97">
        <f t="shared" si="246"/>
        <v>0</v>
      </c>
      <c r="X155" s="9">
        <f t="shared" si="247"/>
        <v>0</v>
      </c>
      <c r="Y155" s="115">
        <f t="shared" si="248"/>
        <v>0</v>
      </c>
      <c r="Z155" s="116">
        <f t="shared" si="249"/>
        <v>0</v>
      </c>
      <c r="AA155" s="97">
        <f t="shared" si="264"/>
        <v>0</v>
      </c>
      <c r="AB155" s="9"/>
      <c r="AC155" s="9">
        <f>GFA!AB156</f>
        <v>0</v>
      </c>
      <c r="AD155" s="9">
        <f>GFA!AD156</f>
        <v>0</v>
      </c>
      <c r="AE155" s="97">
        <f t="shared" si="250"/>
        <v>0</v>
      </c>
      <c r="AF155" s="9">
        <f t="shared" si="251"/>
        <v>0</v>
      </c>
      <c r="AG155" s="115">
        <f t="shared" si="252"/>
        <v>0</v>
      </c>
      <c r="AH155" s="116">
        <f t="shared" si="253"/>
        <v>0</v>
      </c>
      <c r="AI155" s="97">
        <f t="shared" si="265"/>
        <v>0</v>
      </c>
      <c r="AJ155" s="9"/>
      <c r="AK155" s="9">
        <f>GFA!AJ156</f>
        <v>0</v>
      </c>
      <c r="AL155" s="9">
        <f>GFA!AL156</f>
        <v>0</v>
      </c>
      <c r="AM155" s="97">
        <f t="shared" si="254"/>
        <v>0</v>
      </c>
      <c r="AN155" s="9">
        <f t="shared" si="255"/>
        <v>0</v>
      </c>
      <c r="AO155" s="115">
        <f t="shared" si="256"/>
        <v>0</v>
      </c>
      <c r="AP155" s="116">
        <f t="shared" si="257"/>
        <v>0</v>
      </c>
      <c r="AQ155" s="97">
        <f t="shared" si="266"/>
        <v>0</v>
      </c>
      <c r="AR155" s="9"/>
      <c r="AS155" s="9">
        <f>GFA!AR156</f>
        <v>0</v>
      </c>
      <c r="AT155" s="9">
        <f>GFA!AT156</f>
        <v>0</v>
      </c>
      <c r="AU155" s="97">
        <f t="shared" si="258"/>
        <v>0</v>
      </c>
      <c r="AV155" s="9">
        <f t="shared" si="259"/>
        <v>0</v>
      </c>
      <c r="AW155" s="115">
        <f t="shared" si="260"/>
        <v>0</v>
      </c>
      <c r="AX155" s="116">
        <f t="shared" si="261"/>
        <v>0</v>
      </c>
      <c r="AY155" s="97">
        <f t="shared" si="267"/>
        <v>0</v>
      </c>
    </row>
    <row r="156" spans="2:51" x14ac:dyDescent="0.35">
      <c r="B156" s="12" t="s">
        <v>27</v>
      </c>
      <c r="C156" s="12"/>
      <c r="D156" s="13"/>
      <c r="E156" s="13">
        <f t="shared" ref="E156" si="268">SUM(E139:E155)</f>
        <v>3211.0382923577822</v>
      </c>
      <c r="F156" s="13">
        <f t="shared" ref="F156:H156" si="269">SUM(F139:F155)</f>
        <v>9.52</v>
      </c>
      <c r="G156" s="13">
        <f t="shared" si="269"/>
        <v>2898.5024631220044</v>
      </c>
      <c r="H156" s="13">
        <f t="shared" si="269"/>
        <v>1633.2955433677491</v>
      </c>
      <c r="I156" s="13"/>
      <c r="J156" s="13">
        <f t="shared" ref="J156:K156" si="270">SUM(J139:J155)</f>
        <v>1265.2069197542551</v>
      </c>
      <c r="K156" s="13">
        <f t="shared" si="270"/>
        <v>159.40072373589783</v>
      </c>
      <c r="L156" s="13"/>
      <c r="M156" s="13">
        <f t="shared" ref="M156:P156" si="271">SUM(M139:M155)</f>
        <v>3216.8162603577825</v>
      </c>
      <c r="N156" s="13">
        <f t="shared" si="271"/>
        <v>9.9400000000000031</v>
      </c>
      <c r="O156" s="13">
        <f t="shared" si="271"/>
        <v>2904.0806343220042</v>
      </c>
      <c r="P156" s="13">
        <f t="shared" si="271"/>
        <v>1792.696267103647</v>
      </c>
      <c r="Q156" s="13"/>
      <c r="R156" s="13">
        <f t="shared" ref="R156:S156" si="272">SUM(R139:R155)</f>
        <v>1111.3843672183568</v>
      </c>
      <c r="S156" s="13">
        <f t="shared" si="272"/>
        <v>159.64382724603516</v>
      </c>
      <c r="T156" s="13"/>
      <c r="U156" s="13">
        <f t="shared" ref="U156:X156" si="273">SUM(U139:U155)</f>
        <v>3226.7562603577826</v>
      </c>
      <c r="V156" s="13">
        <f t="shared" si="273"/>
        <v>26.950981146999997</v>
      </c>
      <c r="W156" s="13">
        <f t="shared" si="273"/>
        <v>2928.3365173543048</v>
      </c>
      <c r="X156" s="13">
        <f t="shared" si="273"/>
        <v>1952.3400943496822</v>
      </c>
      <c r="Y156" s="13"/>
      <c r="Z156" s="13">
        <f t="shared" ref="Z156:AA156" si="274">SUM(Z139:Z155)</f>
        <v>975.99642300462176</v>
      </c>
      <c r="AA156" s="13">
        <f t="shared" si="274"/>
        <v>80.30094754393987</v>
      </c>
      <c r="AB156" s="13"/>
      <c r="AC156" s="13">
        <f t="shared" ref="AC156:AF156" si="275">SUM(AC139:AC155)</f>
        <v>3253.7072415047824</v>
      </c>
      <c r="AD156" s="13">
        <f t="shared" si="275"/>
        <v>82.562637080000016</v>
      </c>
      <c r="AE156" s="13">
        <f t="shared" si="275"/>
        <v>3002.6428907263048</v>
      </c>
      <c r="AF156" s="13">
        <f t="shared" si="275"/>
        <v>2032.6410418936221</v>
      </c>
      <c r="AG156" s="13"/>
      <c r="AH156" s="13">
        <f t="shared" ref="AH156:AI156" si="276">SUM(AH139:AH155)</f>
        <v>970.00184883268173</v>
      </c>
      <c r="AI156" s="13">
        <f t="shared" si="276"/>
        <v>86.502724781901222</v>
      </c>
      <c r="AJ156" s="13"/>
      <c r="AK156" s="13">
        <f t="shared" ref="AK156:AN156" si="277">SUM(AK139:AK155)</f>
        <v>3336.2698785847824</v>
      </c>
      <c r="AL156" s="13">
        <f t="shared" si="277"/>
        <v>44.95</v>
      </c>
      <c r="AM156" s="13">
        <f t="shared" si="277"/>
        <v>3043.0978907263043</v>
      </c>
      <c r="AN156" s="13">
        <f t="shared" si="277"/>
        <v>2119.1437666755237</v>
      </c>
      <c r="AO156" s="13"/>
      <c r="AP156" s="13">
        <f t="shared" ref="AP156:AQ156" si="278">SUM(AP139:AP155)</f>
        <v>923.95412405078014</v>
      </c>
      <c r="AQ156" s="13">
        <f t="shared" si="278"/>
        <v>78.317158478827935</v>
      </c>
      <c r="AR156" s="13"/>
      <c r="AS156" s="13">
        <f t="shared" ref="AS156:AV156" si="279">SUM(AS139:AS155)</f>
        <v>3381.2198785847822</v>
      </c>
      <c r="AT156" s="13">
        <f t="shared" si="279"/>
        <v>381.66</v>
      </c>
      <c r="AU156" s="13">
        <f t="shared" si="279"/>
        <v>3386.5918907263044</v>
      </c>
      <c r="AV156" s="13">
        <f t="shared" si="279"/>
        <v>2197.4609251543525</v>
      </c>
      <c r="AW156" s="13"/>
      <c r="AX156" s="13">
        <f t="shared" ref="AX156:AY156" si="280">SUM(AX139:AX155)</f>
        <v>1189.1309655719522</v>
      </c>
      <c r="AY156" s="13">
        <f t="shared" si="280"/>
        <v>166.28497194217772</v>
      </c>
    </row>
    <row r="157" spans="2:51" x14ac:dyDescent="0.35">
      <c r="B157" s="70" t="s">
        <v>156</v>
      </c>
      <c r="C157" s="70"/>
      <c r="D157" s="118">
        <v>14.97</v>
      </c>
      <c r="E157" s="7"/>
      <c r="F157" s="7"/>
      <c r="G157" s="7"/>
      <c r="H157" s="7"/>
      <c r="I157" s="7"/>
      <c r="J157" s="7"/>
      <c r="K157" s="7"/>
      <c r="L157" s="118">
        <f>D157-1</f>
        <v>13.97</v>
      </c>
      <c r="M157" s="7"/>
      <c r="N157" s="7"/>
      <c r="O157" s="7"/>
      <c r="P157" s="7"/>
      <c r="Q157" s="7"/>
      <c r="R157" s="7"/>
      <c r="S157" s="7"/>
      <c r="T157" s="118">
        <f>L157-1</f>
        <v>12.97</v>
      </c>
      <c r="U157" s="7"/>
      <c r="V157" s="7"/>
      <c r="W157" s="7"/>
      <c r="X157" s="7"/>
      <c r="Y157" s="7"/>
      <c r="Z157" s="7"/>
      <c r="AA157" s="7"/>
      <c r="AB157" s="118">
        <f>T157-1</f>
        <v>11.97</v>
      </c>
      <c r="AC157" s="7"/>
      <c r="AD157" s="7"/>
      <c r="AE157" s="7"/>
      <c r="AF157" s="7"/>
      <c r="AG157" s="7"/>
      <c r="AH157" s="7"/>
      <c r="AI157" s="7"/>
      <c r="AJ157" s="118">
        <f>AB157-1</f>
        <v>10.97</v>
      </c>
      <c r="AK157" s="7"/>
      <c r="AL157" s="7"/>
      <c r="AM157" s="7"/>
      <c r="AN157" s="7"/>
      <c r="AO157" s="7"/>
      <c r="AP157" s="7"/>
      <c r="AQ157" s="7"/>
      <c r="AR157" s="118">
        <f>AJ157-1</f>
        <v>9.9700000000000006</v>
      </c>
      <c r="AS157" s="9"/>
      <c r="AT157" s="9"/>
      <c r="AU157" s="9"/>
      <c r="AV157" s="9"/>
      <c r="AW157" s="9"/>
      <c r="AX157" s="9"/>
      <c r="AY157" s="9"/>
    </row>
    <row r="158" spans="2:51" x14ac:dyDescent="0.35">
      <c r="B158" s="7" t="s">
        <v>133</v>
      </c>
      <c r="C158" s="14">
        <v>0</v>
      </c>
      <c r="D158" s="9"/>
      <c r="E158" s="9">
        <f>GFA!D159</f>
        <v>2.4171748915856965</v>
      </c>
      <c r="F158" s="9">
        <f>GFA!F159</f>
        <v>0.60783548089740358</v>
      </c>
      <c r="G158" s="97">
        <f t="shared" ref="G158:G174" si="281">90%*(E158+F158)</f>
        <v>2.7225093352347902</v>
      </c>
      <c r="H158" s="9">
        <v>0</v>
      </c>
      <c r="I158" s="115">
        <f t="shared" ref="I158:I174" si="282">IFERROR(H158/G158,0)</f>
        <v>0</v>
      </c>
      <c r="J158" s="116">
        <f t="shared" ref="J158:J174" si="283">MAX(G158-H158,0)</f>
        <v>2.7225093352347902</v>
      </c>
      <c r="K158" s="97">
        <f>IF(I158&lt;70%,MIN(J158,(E158+F158/2)*$C158),J158/D$157)</f>
        <v>0</v>
      </c>
      <c r="L158" s="9"/>
      <c r="M158" s="9">
        <f>GFA!L159</f>
        <v>3.0250103724831003</v>
      </c>
      <c r="N158" s="9">
        <f>GFA!N159</f>
        <v>0</v>
      </c>
      <c r="O158" s="97">
        <f t="shared" ref="O158:O174" si="284">90%*(M158+N158)</f>
        <v>2.7225093352347902</v>
      </c>
      <c r="P158" s="9">
        <f t="shared" ref="P158:P174" si="285">H158+K158</f>
        <v>0</v>
      </c>
      <c r="Q158" s="115">
        <f t="shared" ref="Q158:Q174" si="286">IFERROR(P158/O158,0)</f>
        <v>0</v>
      </c>
      <c r="R158" s="116">
        <f t="shared" ref="R158:R174" si="287">MAX(O158-P158,0)</f>
        <v>2.7225093352347902</v>
      </c>
      <c r="S158" s="97">
        <f>IF(Q158&lt;70%,MIN(R158,(M158+N158/2)*$C158),R158/L$157)</f>
        <v>0</v>
      </c>
      <c r="T158" s="9"/>
      <c r="U158" s="9">
        <f>GFA!T159</f>
        <v>3.0250103724831003</v>
      </c>
      <c r="V158" s="9">
        <f>GFA!V159</f>
        <v>0.68234517959433227</v>
      </c>
      <c r="W158" s="97">
        <f t="shared" ref="W158:W174" si="288">90%*(U158+V158)</f>
        <v>3.3366199968696892</v>
      </c>
      <c r="X158" s="9">
        <f t="shared" ref="X158:X174" si="289">P158+S158</f>
        <v>0</v>
      </c>
      <c r="Y158" s="115">
        <f t="shared" ref="Y158:Y174" si="290">IFERROR(X158/W158,0)</f>
        <v>0</v>
      </c>
      <c r="Z158" s="116">
        <f t="shared" ref="Z158:Z174" si="291">MAX(W158-X158,0)</f>
        <v>3.3366199968696892</v>
      </c>
      <c r="AA158" s="97">
        <f>IF(Y158&lt;70%,MIN(Z158,(U158+V158/2)*$C158),Z158/T$157)</f>
        <v>0</v>
      </c>
      <c r="AB158" s="9"/>
      <c r="AC158" s="9">
        <f>GFA!AB159</f>
        <v>3.7073555520774324</v>
      </c>
      <c r="AD158" s="9">
        <f>GFA!AD159</f>
        <v>0</v>
      </c>
      <c r="AE158" s="97">
        <f t="shared" ref="AE158:AE174" si="292">90%*(AC158+AD158)</f>
        <v>3.3366199968696892</v>
      </c>
      <c r="AF158" s="9">
        <f t="shared" ref="AF158:AF174" si="293">X158+AA158</f>
        <v>0</v>
      </c>
      <c r="AG158" s="115">
        <f t="shared" ref="AG158:AG174" si="294">IFERROR(AF158/AE158,0)</f>
        <v>0</v>
      </c>
      <c r="AH158" s="116">
        <f t="shared" ref="AH158:AH174" si="295">MAX(AE158-AF158,0)</f>
        <v>3.3366199968696892</v>
      </c>
      <c r="AI158" s="97">
        <f>IF(AG158&lt;70%,MIN(AH158,(AC158+AD158/2)*$C158),AH158/AB$157)</f>
        <v>0</v>
      </c>
      <c r="AJ158" s="9"/>
      <c r="AK158" s="9">
        <f>GFA!AJ159</f>
        <v>3.7073555520774324</v>
      </c>
      <c r="AL158" s="9">
        <f>GFA!AL159</f>
        <v>0</v>
      </c>
      <c r="AM158" s="97">
        <f t="shared" ref="AM158:AM174" si="296">90%*(AK158+AL158)</f>
        <v>3.3366199968696892</v>
      </c>
      <c r="AN158" s="9">
        <f t="shared" ref="AN158:AN174" si="297">AF158+AI158</f>
        <v>0</v>
      </c>
      <c r="AO158" s="115">
        <f t="shared" ref="AO158:AO174" si="298">IFERROR(AN158/AM158,0)</f>
        <v>0</v>
      </c>
      <c r="AP158" s="116">
        <f t="shared" ref="AP158:AP174" si="299">MAX(AM158-AN158,0)</f>
        <v>3.3366199968696892</v>
      </c>
      <c r="AQ158" s="97">
        <f>IF(AO158&lt;70%,MIN(AP158,(AK158+AL158/2)*$C158),AP158/AJ$157)</f>
        <v>0</v>
      </c>
      <c r="AR158" s="9"/>
      <c r="AS158" s="9">
        <f>GFA!AR159</f>
        <v>3.7073555520774324</v>
      </c>
      <c r="AT158" s="9">
        <f>GFA!AT159</f>
        <v>0</v>
      </c>
      <c r="AU158" s="97">
        <f t="shared" ref="AU158:AU174" si="300">90%*(AS158+AT158)</f>
        <v>3.3366199968696892</v>
      </c>
      <c r="AV158" s="9">
        <f t="shared" ref="AV158:AV174" si="301">AN158+AQ158</f>
        <v>0</v>
      </c>
      <c r="AW158" s="115">
        <f t="shared" ref="AW158:AW174" si="302">IFERROR(AV158/AU158,0)</f>
        <v>0</v>
      </c>
      <c r="AX158" s="116">
        <f t="shared" ref="AX158:AX174" si="303">MAX(AU158-AV158,0)</f>
        <v>3.3366199968696892</v>
      </c>
      <c r="AY158" s="97">
        <f>IF(AW158&lt;70%,MIN(AX158,(AS158+AT158/2)*$C158),AX158/AR$157)</f>
        <v>0</v>
      </c>
    </row>
    <row r="159" spans="2:51" x14ac:dyDescent="0.35">
      <c r="B159" s="7" t="s">
        <v>134</v>
      </c>
      <c r="C159" s="14">
        <v>3.3399999999999999E-2</v>
      </c>
      <c r="D159" s="9"/>
      <c r="E159" s="9">
        <f>GFA!D160</f>
        <v>156.28126740330515</v>
      </c>
      <c r="F159" s="9">
        <f>GFA!F160</f>
        <v>0.51352451079738637</v>
      </c>
      <c r="G159" s="97">
        <f t="shared" si="281"/>
        <v>141.11531272269229</v>
      </c>
      <c r="H159" s="9">
        <v>78.462136687796104</v>
      </c>
      <c r="I159" s="115">
        <f t="shared" si="282"/>
        <v>0.55601433447540283</v>
      </c>
      <c r="J159" s="116">
        <f t="shared" si="283"/>
        <v>62.653176034896191</v>
      </c>
      <c r="K159" s="97">
        <f t="shared" ref="K159:K174" si="304">IF(I159&lt;70%,MIN(J159,(E159+F159/2)*$C159),J159/D$157)</f>
        <v>5.2283701906007076</v>
      </c>
      <c r="L159" s="9"/>
      <c r="M159" s="9">
        <f>GFA!L160</f>
        <v>156.79479191410255</v>
      </c>
      <c r="N159" s="9">
        <f>GFA!N160</f>
        <v>3.1101801851041007</v>
      </c>
      <c r="O159" s="97">
        <f t="shared" si="284"/>
        <v>143.914474889286</v>
      </c>
      <c r="P159" s="9">
        <f t="shared" si="285"/>
        <v>83.690506878396818</v>
      </c>
      <c r="Q159" s="115">
        <f t="shared" si="286"/>
        <v>0.58152946006842099</v>
      </c>
      <c r="R159" s="116">
        <f t="shared" si="287"/>
        <v>60.22396801088918</v>
      </c>
      <c r="S159" s="97">
        <f t="shared" ref="S159:S174" si="305">IF(Q159&lt;70%,MIN(R159,(M159+N159/2)*$C159),R159/L$157)</f>
        <v>5.2888860590222642</v>
      </c>
      <c r="T159" s="9"/>
      <c r="U159" s="9">
        <f>GFA!T160</f>
        <v>159.90497209920665</v>
      </c>
      <c r="V159" s="9">
        <f>GFA!V160</f>
        <v>3.024670783125972</v>
      </c>
      <c r="W159" s="97">
        <f t="shared" si="288"/>
        <v>146.63667859409935</v>
      </c>
      <c r="X159" s="9">
        <f t="shared" si="289"/>
        <v>88.979392937419078</v>
      </c>
      <c r="Y159" s="115">
        <f t="shared" si="290"/>
        <v>0.60680174831100953</v>
      </c>
      <c r="Z159" s="116">
        <f t="shared" si="291"/>
        <v>57.657285656680273</v>
      </c>
      <c r="AA159" s="97">
        <f t="shared" ref="AA159:AA174" si="306">IF(Y159&lt;70%,MIN(Z159,(U159+V159/2)*$C159),Z159/T$157)</f>
        <v>5.391338070191706</v>
      </c>
      <c r="AB159" s="9"/>
      <c r="AC159" s="9">
        <f>GFA!AB160</f>
        <v>162.92964288233262</v>
      </c>
      <c r="AD159" s="9">
        <f>GFA!AD160</f>
        <v>0</v>
      </c>
      <c r="AE159" s="97">
        <f t="shared" si="292"/>
        <v>146.63667859409935</v>
      </c>
      <c r="AF159" s="9">
        <f t="shared" si="293"/>
        <v>94.370731007610786</v>
      </c>
      <c r="AG159" s="115">
        <f t="shared" si="294"/>
        <v>0.64356838897610069</v>
      </c>
      <c r="AH159" s="116">
        <f t="shared" si="295"/>
        <v>52.265947586488565</v>
      </c>
      <c r="AI159" s="97">
        <f t="shared" ref="AI159:AI174" si="307">IF(AG159&lt;70%,MIN(AH159,(AC159+AD159/2)*$C159),AH159/AB$157)</f>
        <v>5.4418500722699088</v>
      </c>
      <c r="AJ159" s="9"/>
      <c r="AK159" s="9">
        <f>GFA!AJ160</f>
        <v>162.92964288233262</v>
      </c>
      <c r="AL159" s="9">
        <f>GFA!AL160</f>
        <v>0</v>
      </c>
      <c r="AM159" s="97">
        <f t="shared" si="296"/>
        <v>146.63667859409935</v>
      </c>
      <c r="AN159" s="9">
        <f t="shared" si="297"/>
        <v>99.812581079880701</v>
      </c>
      <c r="AO159" s="115">
        <f t="shared" si="298"/>
        <v>0.68067950008721179</v>
      </c>
      <c r="AP159" s="116">
        <f t="shared" si="299"/>
        <v>46.82409751421865</v>
      </c>
      <c r="AQ159" s="97">
        <f t="shared" ref="AQ159:AQ174" si="308">IF(AO159&lt;70%,MIN(AP159,(AK159+AL159/2)*$C159),AP159/AJ$157)</f>
        <v>5.4418500722699088</v>
      </c>
      <c r="AR159" s="9"/>
      <c r="AS159" s="9">
        <f>GFA!AR160</f>
        <v>162.92964288233262</v>
      </c>
      <c r="AT159" s="9">
        <f>GFA!AT160</f>
        <v>0</v>
      </c>
      <c r="AU159" s="97">
        <f t="shared" si="300"/>
        <v>146.63667859409935</v>
      </c>
      <c r="AV159" s="9">
        <f t="shared" si="301"/>
        <v>105.25443115215062</v>
      </c>
      <c r="AW159" s="115">
        <f t="shared" si="302"/>
        <v>0.71779061119832299</v>
      </c>
      <c r="AX159" s="116">
        <f t="shared" si="303"/>
        <v>41.382247441948735</v>
      </c>
      <c r="AY159" s="97">
        <f t="shared" ref="AY159:AY174" si="309">IF(AW159&lt;70%,MIN(AX159,(AS159+AT159/2)*$C159),AX159/AR$157)</f>
        <v>4.1506767745184288</v>
      </c>
    </row>
    <row r="160" spans="2:51" ht="31" x14ac:dyDescent="0.35">
      <c r="B160" s="84" t="s">
        <v>135</v>
      </c>
      <c r="C160" s="117">
        <v>5.28E-2</v>
      </c>
      <c r="D160" s="9"/>
      <c r="E160" s="9">
        <f>GFA!D161</f>
        <v>73.849999999999994</v>
      </c>
      <c r="F160" s="9">
        <f>GFA!F161</f>
        <v>0</v>
      </c>
      <c r="G160" s="97">
        <f t="shared" si="281"/>
        <v>66.465000000000003</v>
      </c>
      <c r="H160" s="9">
        <v>32.65628125279175</v>
      </c>
      <c r="I160" s="115">
        <f t="shared" si="282"/>
        <v>0.49133049353481906</v>
      </c>
      <c r="J160" s="116">
        <f t="shared" si="283"/>
        <v>33.808718747208253</v>
      </c>
      <c r="K160" s="97">
        <f t="shared" si="304"/>
        <v>3.8992799999999996</v>
      </c>
      <c r="L160" s="9"/>
      <c r="M160" s="9">
        <f>GFA!L161</f>
        <v>73.849999999999994</v>
      </c>
      <c r="N160" s="9">
        <f>GFA!N161</f>
        <v>0</v>
      </c>
      <c r="O160" s="97">
        <f t="shared" si="284"/>
        <v>66.465000000000003</v>
      </c>
      <c r="P160" s="9">
        <f t="shared" si="285"/>
        <v>36.555561252791748</v>
      </c>
      <c r="Q160" s="115">
        <f t="shared" si="286"/>
        <v>0.5499971602014857</v>
      </c>
      <c r="R160" s="116">
        <f t="shared" si="287"/>
        <v>29.909438747208256</v>
      </c>
      <c r="S160" s="97">
        <f t="shared" si="305"/>
        <v>3.8992799999999996</v>
      </c>
      <c r="T160" s="9"/>
      <c r="U160" s="9">
        <f>GFA!T161</f>
        <v>73.849999999999994</v>
      </c>
      <c r="V160" s="9">
        <f>GFA!V161</f>
        <v>0</v>
      </c>
      <c r="W160" s="97">
        <f t="shared" si="288"/>
        <v>66.465000000000003</v>
      </c>
      <c r="X160" s="9">
        <f t="shared" si="289"/>
        <v>40.454841252791745</v>
      </c>
      <c r="Y160" s="115">
        <f t="shared" si="290"/>
        <v>0.60866382686815235</v>
      </c>
      <c r="Z160" s="116">
        <f t="shared" si="291"/>
        <v>26.010158747208258</v>
      </c>
      <c r="AA160" s="97">
        <f t="shared" si="306"/>
        <v>3.8992799999999996</v>
      </c>
      <c r="AB160" s="9"/>
      <c r="AC160" s="9">
        <f>GFA!AB161</f>
        <v>73.849999999999994</v>
      </c>
      <c r="AD160" s="9">
        <f>GFA!AD161</f>
        <v>0</v>
      </c>
      <c r="AE160" s="97">
        <f t="shared" si="292"/>
        <v>66.465000000000003</v>
      </c>
      <c r="AF160" s="9">
        <f t="shared" si="293"/>
        <v>44.354121252791742</v>
      </c>
      <c r="AG160" s="115">
        <f t="shared" si="294"/>
        <v>0.66733049353481888</v>
      </c>
      <c r="AH160" s="116">
        <f t="shared" si="295"/>
        <v>22.110878747208261</v>
      </c>
      <c r="AI160" s="97">
        <f t="shared" si="307"/>
        <v>3.8992799999999996</v>
      </c>
      <c r="AJ160" s="9"/>
      <c r="AK160" s="9">
        <f>GFA!AJ161</f>
        <v>73.849999999999994</v>
      </c>
      <c r="AL160" s="9">
        <f>GFA!AL161</f>
        <v>0</v>
      </c>
      <c r="AM160" s="97">
        <f t="shared" si="296"/>
        <v>66.465000000000003</v>
      </c>
      <c r="AN160" s="9">
        <f t="shared" si="297"/>
        <v>48.25340125279174</v>
      </c>
      <c r="AO160" s="115">
        <f t="shared" si="298"/>
        <v>0.72599716020148553</v>
      </c>
      <c r="AP160" s="116">
        <f t="shared" si="299"/>
        <v>18.211598747208264</v>
      </c>
      <c r="AQ160" s="97">
        <f t="shared" si="308"/>
        <v>1.6601275065823393</v>
      </c>
      <c r="AR160" s="9"/>
      <c r="AS160" s="9">
        <f>GFA!AR161</f>
        <v>73.849999999999994</v>
      </c>
      <c r="AT160" s="9">
        <f>GFA!AT161</f>
        <v>0</v>
      </c>
      <c r="AU160" s="97">
        <f t="shared" si="300"/>
        <v>66.465000000000003</v>
      </c>
      <c r="AV160" s="9">
        <f t="shared" si="301"/>
        <v>49.913528759374081</v>
      </c>
      <c r="AW160" s="115">
        <f t="shared" si="302"/>
        <v>0.75097462964528816</v>
      </c>
      <c r="AX160" s="116">
        <f t="shared" si="303"/>
        <v>16.551471240625922</v>
      </c>
      <c r="AY160" s="97">
        <f t="shared" si="309"/>
        <v>1.6601275065823391</v>
      </c>
    </row>
    <row r="161" spans="2:51" x14ac:dyDescent="0.35">
      <c r="B161" s="7" t="s">
        <v>136</v>
      </c>
      <c r="C161" s="14">
        <v>5.28E-2</v>
      </c>
      <c r="D161" s="9"/>
      <c r="E161" s="9">
        <f>GFA!D162</f>
        <v>119.44693319057978</v>
      </c>
      <c r="F161" s="9">
        <f>GFA!F162</f>
        <v>28.06592648474092</v>
      </c>
      <c r="G161" s="97">
        <f t="shared" si="281"/>
        <v>132.76157370778864</v>
      </c>
      <c r="H161" s="9">
        <v>55.121589250129588</v>
      </c>
      <c r="I161" s="115">
        <f t="shared" si="282"/>
        <v>0.41519234602817762</v>
      </c>
      <c r="J161" s="116">
        <f t="shared" si="283"/>
        <v>77.639984457659054</v>
      </c>
      <c r="K161" s="97">
        <f t="shared" si="304"/>
        <v>7.0477385316597738</v>
      </c>
      <c r="L161" s="9"/>
      <c r="M161" s="9">
        <f>GFA!L162</f>
        <v>147.5128596753207</v>
      </c>
      <c r="N161" s="9">
        <f>GFA!N162</f>
        <v>0</v>
      </c>
      <c r="O161" s="97">
        <f t="shared" si="284"/>
        <v>132.76157370778864</v>
      </c>
      <c r="P161" s="9">
        <f t="shared" si="285"/>
        <v>62.169327781789363</v>
      </c>
      <c r="Q161" s="115">
        <f t="shared" si="286"/>
        <v>0.46827802688318171</v>
      </c>
      <c r="R161" s="116">
        <f t="shared" si="287"/>
        <v>70.592245925999279</v>
      </c>
      <c r="S161" s="97">
        <f t="shared" si="305"/>
        <v>7.7886789908569325</v>
      </c>
      <c r="T161" s="9"/>
      <c r="U161" s="9">
        <f>GFA!T162</f>
        <v>147.5128596753207</v>
      </c>
      <c r="V161" s="9">
        <f>GFA!V162</f>
        <v>14.114044286088559</v>
      </c>
      <c r="W161" s="97">
        <f t="shared" si="288"/>
        <v>145.46421356526832</v>
      </c>
      <c r="X161" s="9">
        <f t="shared" si="289"/>
        <v>69.9580067726463</v>
      </c>
      <c r="Y161" s="115">
        <f t="shared" si="290"/>
        <v>0.48092933002560695</v>
      </c>
      <c r="Z161" s="116">
        <f t="shared" si="291"/>
        <v>75.506206792622024</v>
      </c>
      <c r="AA161" s="97">
        <f t="shared" si="306"/>
        <v>8.1612897600096712</v>
      </c>
      <c r="AB161" s="9"/>
      <c r="AC161" s="9">
        <f>GFA!AB162</f>
        <v>161.62690396140925</v>
      </c>
      <c r="AD161" s="9">
        <f>GFA!AD162</f>
        <v>0</v>
      </c>
      <c r="AE161" s="97">
        <f t="shared" si="292"/>
        <v>145.46421356526832</v>
      </c>
      <c r="AF161" s="9">
        <f t="shared" si="293"/>
        <v>78.119296532655966</v>
      </c>
      <c r="AG161" s="115">
        <f t="shared" si="294"/>
        <v>0.53703446791471243</v>
      </c>
      <c r="AH161" s="116">
        <f t="shared" si="295"/>
        <v>67.344917032612358</v>
      </c>
      <c r="AI161" s="97">
        <f t="shared" si="307"/>
        <v>8.533900529162409</v>
      </c>
      <c r="AJ161" s="9"/>
      <c r="AK161" s="9">
        <f>GFA!AJ162</f>
        <v>161.62690396140925</v>
      </c>
      <c r="AL161" s="9">
        <f>GFA!AL162</f>
        <v>0</v>
      </c>
      <c r="AM161" s="97">
        <f t="shared" si="296"/>
        <v>145.46421356526832</v>
      </c>
      <c r="AN161" s="9">
        <f t="shared" si="297"/>
        <v>86.653197061818375</v>
      </c>
      <c r="AO161" s="115">
        <f t="shared" si="298"/>
        <v>0.59570113458137908</v>
      </c>
      <c r="AP161" s="116">
        <f t="shared" si="299"/>
        <v>58.811016503449949</v>
      </c>
      <c r="AQ161" s="97">
        <f t="shared" si="308"/>
        <v>8.533900529162409</v>
      </c>
      <c r="AR161" s="9"/>
      <c r="AS161" s="9">
        <f>GFA!AR162</f>
        <v>161.62690396140925</v>
      </c>
      <c r="AT161" s="9">
        <f>GFA!AT162</f>
        <v>0</v>
      </c>
      <c r="AU161" s="97">
        <f t="shared" si="300"/>
        <v>145.46421356526832</v>
      </c>
      <c r="AV161" s="9">
        <f t="shared" si="301"/>
        <v>95.187097590980784</v>
      </c>
      <c r="AW161" s="115">
        <f t="shared" si="302"/>
        <v>0.65436780124804572</v>
      </c>
      <c r="AX161" s="116">
        <f t="shared" si="303"/>
        <v>50.27711597428754</v>
      </c>
      <c r="AY161" s="97">
        <f t="shared" si="309"/>
        <v>8.533900529162409</v>
      </c>
    </row>
    <row r="162" spans="2:51" x14ac:dyDescent="0.35">
      <c r="B162" s="7" t="s">
        <v>137</v>
      </c>
      <c r="C162" s="14">
        <v>3.3399999999999999E-2</v>
      </c>
      <c r="D162" s="9"/>
      <c r="E162" s="9">
        <f>GFA!D163</f>
        <v>81.716613851578529</v>
      </c>
      <c r="F162" s="9">
        <f>GFA!F163</f>
        <v>9.9465221521926477</v>
      </c>
      <c r="G162" s="97">
        <f t="shared" si="281"/>
        <v>82.496822403394063</v>
      </c>
      <c r="H162" s="9">
        <v>43.102690230473527</v>
      </c>
      <c r="I162" s="115">
        <f t="shared" si="282"/>
        <v>0.52247697517013947</v>
      </c>
      <c r="J162" s="116">
        <f t="shared" si="283"/>
        <v>39.394132172920536</v>
      </c>
      <c r="K162" s="97">
        <f t="shared" si="304"/>
        <v>2.8954418225843401</v>
      </c>
      <c r="L162" s="9"/>
      <c r="M162" s="9">
        <f>GFA!L163</f>
        <v>91.663136003771172</v>
      </c>
      <c r="N162" s="9">
        <f>GFA!N163</f>
        <v>3.983878807806617</v>
      </c>
      <c r="O162" s="97">
        <f t="shared" si="284"/>
        <v>86.082313330420007</v>
      </c>
      <c r="P162" s="9">
        <f t="shared" si="285"/>
        <v>45.998132053057866</v>
      </c>
      <c r="Q162" s="115">
        <f t="shared" si="286"/>
        <v>0.5343505567339687</v>
      </c>
      <c r="R162" s="116">
        <f t="shared" si="287"/>
        <v>40.084181277362141</v>
      </c>
      <c r="S162" s="97">
        <f t="shared" si="305"/>
        <v>3.1280795186163273</v>
      </c>
      <c r="T162" s="9"/>
      <c r="U162" s="9">
        <f>GFA!T163</f>
        <v>95.64701481157779</v>
      </c>
      <c r="V162" s="9">
        <f>GFA!V163</f>
        <v>7.3690794225363341</v>
      </c>
      <c r="W162" s="97">
        <f t="shared" si="288"/>
        <v>92.714484810702714</v>
      </c>
      <c r="X162" s="9">
        <f t="shared" si="289"/>
        <v>49.12621157167419</v>
      </c>
      <c r="Y162" s="115">
        <f t="shared" si="290"/>
        <v>0.52986555091123355</v>
      </c>
      <c r="Z162" s="116">
        <f t="shared" si="291"/>
        <v>43.588273239028524</v>
      </c>
      <c r="AA162" s="97">
        <f t="shared" si="306"/>
        <v>3.3176739210630553</v>
      </c>
      <c r="AB162" s="9"/>
      <c r="AC162" s="9">
        <f>GFA!AB163</f>
        <v>103.01609423411412</v>
      </c>
      <c r="AD162" s="9">
        <f>GFA!AD163</f>
        <v>0</v>
      </c>
      <c r="AE162" s="97">
        <f t="shared" si="292"/>
        <v>92.714484810702714</v>
      </c>
      <c r="AF162" s="9">
        <f t="shared" si="293"/>
        <v>52.443885492737245</v>
      </c>
      <c r="AG162" s="115">
        <f t="shared" si="294"/>
        <v>0.56564932221554298</v>
      </c>
      <c r="AH162" s="116">
        <f t="shared" si="295"/>
        <v>40.27059931796547</v>
      </c>
      <c r="AI162" s="97">
        <f t="shared" si="307"/>
        <v>3.4407375474194115</v>
      </c>
      <c r="AJ162" s="9"/>
      <c r="AK162" s="9">
        <f>GFA!AJ163</f>
        <v>103.01609423411412</v>
      </c>
      <c r="AL162" s="9">
        <f>GFA!AL163</f>
        <v>0</v>
      </c>
      <c r="AM162" s="97">
        <f t="shared" si="296"/>
        <v>92.714484810702714</v>
      </c>
      <c r="AN162" s="9">
        <f t="shared" si="297"/>
        <v>55.884623040156654</v>
      </c>
      <c r="AO162" s="115">
        <f t="shared" si="298"/>
        <v>0.60276043332665408</v>
      </c>
      <c r="AP162" s="116">
        <f t="shared" si="299"/>
        <v>36.82986177054606</v>
      </c>
      <c r="AQ162" s="97">
        <f t="shared" si="308"/>
        <v>3.4407375474194115</v>
      </c>
      <c r="AR162" s="9"/>
      <c r="AS162" s="9">
        <f>GFA!AR163</f>
        <v>103.01609423411412</v>
      </c>
      <c r="AT162" s="9">
        <f>GFA!AT163</f>
        <v>0</v>
      </c>
      <c r="AU162" s="97">
        <f t="shared" si="300"/>
        <v>92.714484810702714</v>
      </c>
      <c r="AV162" s="9">
        <f t="shared" si="301"/>
        <v>59.325360587576064</v>
      </c>
      <c r="AW162" s="115">
        <f t="shared" si="302"/>
        <v>0.63987154443776517</v>
      </c>
      <c r="AX162" s="116">
        <f t="shared" si="303"/>
        <v>33.38912422312665</v>
      </c>
      <c r="AY162" s="97">
        <f t="shared" si="309"/>
        <v>3.4407375474194115</v>
      </c>
    </row>
    <row r="163" spans="2:51" x14ac:dyDescent="0.35">
      <c r="B163" s="7" t="s">
        <v>138</v>
      </c>
      <c r="C163" s="14">
        <v>5.28E-2</v>
      </c>
      <c r="D163" s="9"/>
      <c r="E163" s="9">
        <f>GFA!D164</f>
        <v>2459.1440698070846</v>
      </c>
      <c r="F163" s="9">
        <f>GFA!F164</f>
        <v>6.2187348249854812</v>
      </c>
      <c r="G163" s="97">
        <f t="shared" si="281"/>
        <v>2218.8265241688632</v>
      </c>
      <c r="H163" s="9">
        <v>1347.181747983281</v>
      </c>
      <c r="I163" s="115">
        <f t="shared" si="282"/>
        <v>0.60715956534182569</v>
      </c>
      <c r="J163" s="116">
        <f t="shared" si="283"/>
        <v>871.64477618558226</v>
      </c>
      <c r="K163" s="97">
        <f t="shared" si="304"/>
        <v>130.00698148519368</v>
      </c>
      <c r="L163" s="9"/>
      <c r="M163" s="9">
        <f>GFA!L164</f>
        <v>2465.36280463207</v>
      </c>
      <c r="N163" s="9">
        <f>GFA!N164</f>
        <v>19.045564544863417</v>
      </c>
      <c r="O163" s="97">
        <f t="shared" si="284"/>
        <v>2235.9675322592402</v>
      </c>
      <c r="P163" s="9">
        <f t="shared" si="285"/>
        <v>1477.1887294684745</v>
      </c>
      <c r="Q163" s="115">
        <f t="shared" si="286"/>
        <v>0.66064855958615409</v>
      </c>
      <c r="R163" s="116">
        <f t="shared" si="287"/>
        <v>758.77880279076567</v>
      </c>
      <c r="S163" s="97">
        <f t="shared" si="305"/>
        <v>130.6739589885577</v>
      </c>
      <c r="T163" s="9"/>
      <c r="U163" s="9">
        <f>GFA!T164</f>
        <v>2484.4083691769333</v>
      </c>
      <c r="V163" s="9">
        <f>GFA!V164</f>
        <v>32.198983355872571</v>
      </c>
      <c r="W163" s="97">
        <f t="shared" si="288"/>
        <v>2264.9466172795255</v>
      </c>
      <c r="X163" s="9">
        <f t="shared" si="289"/>
        <v>1607.8626884570322</v>
      </c>
      <c r="Y163" s="115">
        <f t="shared" si="290"/>
        <v>0.70988988269766351</v>
      </c>
      <c r="Z163" s="116">
        <f t="shared" si="291"/>
        <v>657.08392882249336</v>
      </c>
      <c r="AA163" s="97">
        <f t="shared" si="306"/>
        <v>50.661829515997944</v>
      </c>
      <c r="AB163" s="9"/>
      <c r="AC163" s="9">
        <f>GFA!AB164</f>
        <v>2515.8707559328059</v>
      </c>
      <c r="AD163" s="9">
        <f>GFA!AD164</f>
        <v>37.570000000000007</v>
      </c>
      <c r="AE163" s="97">
        <f t="shared" si="292"/>
        <v>2298.0966803395254</v>
      </c>
      <c r="AF163" s="9">
        <f t="shared" si="293"/>
        <v>1658.52451797303</v>
      </c>
      <c r="AG163" s="115">
        <f t="shared" si="294"/>
        <v>0.72169484084890467</v>
      </c>
      <c r="AH163" s="116">
        <f t="shared" si="295"/>
        <v>639.57216236649538</v>
      </c>
      <c r="AI163" s="97">
        <f t="shared" si="307"/>
        <v>53.431258343065608</v>
      </c>
      <c r="AJ163" s="9"/>
      <c r="AK163" s="9">
        <f>GFA!AJ164</f>
        <v>2553.440755932806</v>
      </c>
      <c r="AL163" s="9">
        <f>GFA!AL164</f>
        <v>25.8</v>
      </c>
      <c r="AM163" s="97">
        <f t="shared" si="296"/>
        <v>2321.3166803395256</v>
      </c>
      <c r="AN163" s="9">
        <f t="shared" si="297"/>
        <v>1711.9557763160956</v>
      </c>
      <c r="AO163" s="115">
        <f t="shared" si="298"/>
        <v>0.73749341949573965</v>
      </c>
      <c r="AP163" s="116">
        <f t="shared" si="299"/>
        <v>609.36090402343007</v>
      </c>
      <c r="AQ163" s="97">
        <f t="shared" si="308"/>
        <v>55.547940202682774</v>
      </c>
      <c r="AR163" s="9"/>
      <c r="AS163" s="9">
        <f>GFA!AR164</f>
        <v>2579.2407559328062</v>
      </c>
      <c r="AT163" s="9">
        <f>GFA!AT164</f>
        <v>145.02000000000001</v>
      </c>
      <c r="AU163" s="97">
        <f t="shared" si="300"/>
        <v>2451.8346803395257</v>
      </c>
      <c r="AV163" s="9">
        <f t="shared" si="301"/>
        <v>1767.5037165187784</v>
      </c>
      <c r="AW163" s="115">
        <f t="shared" si="302"/>
        <v>0.72089025034673937</v>
      </c>
      <c r="AX163" s="116">
        <f t="shared" si="303"/>
        <v>684.33096382074723</v>
      </c>
      <c r="AY163" s="97">
        <f t="shared" si="309"/>
        <v>68.639013422341748</v>
      </c>
    </row>
    <row r="164" spans="2:51" x14ac:dyDescent="0.35">
      <c r="B164" s="7" t="s">
        <v>139</v>
      </c>
      <c r="C164" s="14">
        <v>0.18</v>
      </c>
      <c r="D164" s="9"/>
      <c r="E164" s="9">
        <f>GFA!D165</f>
        <v>0</v>
      </c>
      <c r="F164" s="9">
        <f>GFA!F165</f>
        <v>7.5669609262966295</v>
      </c>
      <c r="G164" s="97">
        <f t="shared" si="281"/>
        <v>6.8102648336669667</v>
      </c>
      <c r="H164" s="9">
        <v>0</v>
      </c>
      <c r="I164" s="115">
        <f t="shared" si="282"/>
        <v>0</v>
      </c>
      <c r="J164" s="116">
        <f t="shared" si="283"/>
        <v>6.8102648336669667</v>
      </c>
      <c r="K164" s="97">
        <f t="shared" si="304"/>
        <v>0.68102648336669658</v>
      </c>
      <c r="L164" s="9"/>
      <c r="M164" s="9">
        <f>GFA!L165</f>
        <v>5.0409049482966299</v>
      </c>
      <c r="N164" s="9">
        <f>GFA!N165</f>
        <v>0</v>
      </c>
      <c r="O164" s="97">
        <f t="shared" si="284"/>
        <v>4.5368144534669668</v>
      </c>
      <c r="P164" s="9">
        <f t="shared" si="285"/>
        <v>0.68102648336669658</v>
      </c>
      <c r="Q164" s="115">
        <f t="shared" si="286"/>
        <v>0.15011116067271965</v>
      </c>
      <c r="R164" s="116">
        <f t="shared" si="287"/>
        <v>3.8557879701002702</v>
      </c>
      <c r="S164" s="97">
        <f t="shared" si="305"/>
        <v>0.90736289069339338</v>
      </c>
      <c r="T164" s="9"/>
      <c r="U164" s="9">
        <f>GFA!T165</f>
        <v>5.0409049482966299</v>
      </c>
      <c r="V164" s="9">
        <f>GFA!V165</f>
        <v>0</v>
      </c>
      <c r="W164" s="97">
        <f t="shared" si="288"/>
        <v>4.5368144534669668</v>
      </c>
      <c r="X164" s="9">
        <f t="shared" si="289"/>
        <v>1.5883893740600898</v>
      </c>
      <c r="Y164" s="115">
        <f t="shared" si="290"/>
        <v>0.35011116067271963</v>
      </c>
      <c r="Z164" s="116">
        <f t="shared" si="291"/>
        <v>2.9484250794068769</v>
      </c>
      <c r="AA164" s="97">
        <f t="shared" si="306"/>
        <v>0.90736289069339338</v>
      </c>
      <c r="AB164" s="9"/>
      <c r="AC164" s="9">
        <f>GFA!AB165</f>
        <v>5.0409049482966299</v>
      </c>
      <c r="AD164" s="9">
        <f>GFA!AD165</f>
        <v>0</v>
      </c>
      <c r="AE164" s="97">
        <f t="shared" si="292"/>
        <v>4.5368144534669668</v>
      </c>
      <c r="AF164" s="9">
        <f t="shared" si="293"/>
        <v>2.4957522647534831</v>
      </c>
      <c r="AG164" s="115">
        <f t="shared" si="294"/>
        <v>0.55011116067271959</v>
      </c>
      <c r="AH164" s="116">
        <f t="shared" si="295"/>
        <v>2.0410621887134837</v>
      </c>
      <c r="AI164" s="97">
        <f t="shared" si="307"/>
        <v>0.90736289069339338</v>
      </c>
      <c r="AJ164" s="9"/>
      <c r="AK164" s="9">
        <f>GFA!AJ165</f>
        <v>5.0409049482966299</v>
      </c>
      <c r="AL164" s="9">
        <f>GFA!AL165</f>
        <v>0</v>
      </c>
      <c r="AM164" s="97">
        <f t="shared" si="296"/>
        <v>4.5368144534669668</v>
      </c>
      <c r="AN164" s="9">
        <f t="shared" si="297"/>
        <v>3.4031151554468764</v>
      </c>
      <c r="AO164" s="115">
        <f t="shared" si="298"/>
        <v>0.75011116067271955</v>
      </c>
      <c r="AP164" s="116">
        <f t="shared" si="299"/>
        <v>1.1336992980200904</v>
      </c>
      <c r="AQ164" s="97">
        <f t="shared" si="308"/>
        <v>0.10334542370283413</v>
      </c>
      <c r="AR164" s="9"/>
      <c r="AS164" s="9">
        <f>GFA!AR165</f>
        <v>5.0409049482966299</v>
      </c>
      <c r="AT164" s="9">
        <f>GFA!AT165</f>
        <v>0</v>
      </c>
      <c r="AU164" s="97">
        <f t="shared" si="300"/>
        <v>4.5368144534669668</v>
      </c>
      <c r="AV164" s="9">
        <f t="shared" si="301"/>
        <v>3.5064605791497105</v>
      </c>
      <c r="AW164" s="115">
        <f t="shared" si="302"/>
        <v>0.77289045322762207</v>
      </c>
      <c r="AX164" s="116">
        <f t="shared" si="303"/>
        <v>1.0303538743172562</v>
      </c>
      <c r="AY164" s="97">
        <f t="shared" si="309"/>
        <v>0.10334542370283412</v>
      </c>
    </row>
    <row r="165" spans="2:51" x14ac:dyDescent="0.35">
      <c r="B165" s="7" t="s">
        <v>140</v>
      </c>
      <c r="C165" s="14">
        <v>5.28E-2</v>
      </c>
      <c r="D165" s="9"/>
      <c r="E165" s="9">
        <f>GFA!D166</f>
        <v>0</v>
      </c>
      <c r="F165" s="9">
        <f>GFA!F166</f>
        <v>0</v>
      </c>
      <c r="G165" s="97">
        <f t="shared" si="281"/>
        <v>0</v>
      </c>
      <c r="H165" s="9">
        <v>0</v>
      </c>
      <c r="I165" s="115">
        <f t="shared" si="282"/>
        <v>0</v>
      </c>
      <c r="J165" s="116">
        <f t="shared" si="283"/>
        <v>0</v>
      </c>
      <c r="K165" s="97">
        <f t="shared" si="304"/>
        <v>0</v>
      </c>
      <c r="L165" s="9"/>
      <c r="M165" s="9">
        <f>GFA!L166</f>
        <v>0</v>
      </c>
      <c r="N165" s="9">
        <f>GFA!N166</f>
        <v>0</v>
      </c>
      <c r="O165" s="97">
        <f t="shared" si="284"/>
        <v>0</v>
      </c>
      <c r="P165" s="9">
        <f t="shared" si="285"/>
        <v>0</v>
      </c>
      <c r="Q165" s="115">
        <f t="shared" si="286"/>
        <v>0</v>
      </c>
      <c r="R165" s="116">
        <f t="shared" si="287"/>
        <v>0</v>
      </c>
      <c r="S165" s="97">
        <f t="shared" si="305"/>
        <v>0</v>
      </c>
      <c r="T165" s="9"/>
      <c r="U165" s="9">
        <f>GFA!T166</f>
        <v>0</v>
      </c>
      <c r="V165" s="9">
        <f>GFA!V166</f>
        <v>0</v>
      </c>
      <c r="W165" s="97">
        <f t="shared" si="288"/>
        <v>0</v>
      </c>
      <c r="X165" s="9">
        <f t="shared" si="289"/>
        <v>0</v>
      </c>
      <c r="Y165" s="115">
        <f t="shared" si="290"/>
        <v>0</v>
      </c>
      <c r="Z165" s="116">
        <f t="shared" si="291"/>
        <v>0</v>
      </c>
      <c r="AA165" s="97">
        <f t="shared" si="306"/>
        <v>0</v>
      </c>
      <c r="AB165" s="9"/>
      <c r="AC165" s="9">
        <f>GFA!AB166</f>
        <v>0</v>
      </c>
      <c r="AD165" s="9">
        <f>GFA!AD166</f>
        <v>0</v>
      </c>
      <c r="AE165" s="97">
        <f t="shared" si="292"/>
        <v>0</v>
      </c>
      <c r="AF165" s="9">
        <f t="shared" si="293"/>
        <v>0</v>
      </c>
      <c r="AG165" s="115">
        <f t="shared" si="294"/>
        <v>0</v>
      </c>
      <c r="AH165" s="116">
        <f t="shared" si="295"/>
        <v>0</v>
      </c>
      <c r="AI165" s="97">
        <f t="shared" si="307"/>
        <v>0</v>
      </c>
      <c r="AJ165" s="9"/>
      <c r="AK165" s="9">
        <f>GFA!AJ166</f>
        <v>0</v>
      </c>
      <c r="AL165" s="9">
        <f>GFA!AL166</f>
        <v>0</v>
      </c>
      <c r="AM165" s="97">
        <f t="shared" si="296"/>
        <v>0</v>
      </c>
      <c r="AN165" s="9">
        <f t="shared" si="297"/>
        <v>0</v>
      </c>
      <c r="AO165" s="115">
        <f t="shared" si="298"/>
        <v>0</v>
      </c>
      <c r="AP165" s="116">
        <f t="shared" si="299"/>
        <v>0</v>
      </c>
      <c r="AQ165" s="97">
        <f t="shared" si="308"/>
        <v>0</v>
      </c>
      <c r="AR165" s="9"/>
      <c r="AS165" s="9">
        <f>GFA!AR166</f>
        <v>0</v>
      </c>
      <c r="AT165" s="9">
        <f>GFA!AT166</f>
        <v>0</v>
      </c>
      <c r="AU165" s="97">
        <f t="shared" si="300"/>
        <v>0</v>
      </c>
      <c r="AV165" s="9">
        <f t="shared" si="301"/>
        <v>0</v>
      </c>
      <c r="AW165" s="115">
        <f t="shared" si="302"/>
        <v>0</v>
      </c>
      <c r="AX165" s="116">
        <f t="shared" si="303"/>
        <v>0</v>
      </c>
      <c r="AY165" s="97">
        <f t="shared" si="309"/>
        <v>0</v>
      </c>
    </row>
    <row r="166" spans="2:51" x14ac:dyDescent="0.35">
      <c r="B166" s="7" t="s">
        <v>141</v>
      </c>
      <c r="C166" s="14">
        <v>5.28E-2</v>
      </c>
      <c r="D166" s="9"/>
      <c r="E166" s="9">
        <f>GFA!D167</f>
        <v>32.510099787069834</v>
      </c>
      <c r="F166" s="9">
        <f>GFA!F167</f>
        <v>0</v>
      </c>
      <c r="G166" s="97">
        <f t="shared" si="281"/>
        <v>29.259089808362852</v>
      </c>
      <c r="H166" s="9">
        <v>15.1443726673599</v>
      </c>
      <c r="I166" s="115">
        <f t="shared" si="282"/>
        <v>0.51759548114963316</v>
      </c>
      <c r="J166" s="116">
        <f t="shared" si="283"/>
        <v>14.114717141002952</v>
      </c>
      <c r="K166" s="97">
        <f t="shared" si="304"/>
        <v>1.7165332687572872</v>
      </c>
      <c r="L166" s="9"/>
      <c r="M166" s="9">
        <f>GFA!L167</f>
        <v>32.510099787069834</v>
      </c>
      <c r="N166" s="9">
        <f>GFA!N167</f>
        <v>0</v>
      </c>
      <c r="O166" s="97">
        <f t="shared" si="284"/>
        <v>29.259089808362852</v>
      </c>
      <c r="P166" s="9">
        <f t="shared" si="285"/>
        <v>16.860905936117188</v>
      </c>
      <c r="Q166" s="115">
        <f t="shared" si="286"/>
        <v>0.57626214781629992</v>
      </c>
      <c r="R166" s="116">
        <f t="shared" si="287"/>
        <v>12.398183872245664</v>
      </c>
      <c r="S166" s="97">
        <f t="shared" si="305"/>
        <v>1.7165332687572872</v>
      </c>
      <c r="T166" s="9"/>
      <c r="U166" s="9">
        <f>GFA!T167</f>
        <v>32.510099787069834</v>
      </c>
      <c r="V166" s="9">
        <f>GFA!V167</f>
        <v>0</v>
      </c>
      <c r="W166" s="97">
        <f t="shared" si="288"/>
        <v>29.259089808362852</v>
      </c>
      <c r="X166" s="9">
        <f t="shared" si="289"/>
        <v>18.577439204874477</v>
      </c>
      <c r="Y166" s="115">
        <f t="shared" si="290"/>
        <v>0.63492881448296667</v>
      </c>
      <c r="Z166" s="116">
        <f t="shared" si="291"/>
        <v>10.681650603488375</v>
      </c>
      <c r="AA166" s="97">
        <f t="shared" si="306"/>
        <v>1.7165332687572872</v>
      </c>
      <c r="AB166" s="9"/>
      <c r="AC166" s="9">
        <f>GFA!AB167</f>
        <v>32.510099787069834</v>
      </c>
      <c r="AD166" s="9">
        <f>GFA!AD167</f>
        <v>0</v>
      </c>
      <c r="AE166" s="97">
        <f t="shared" si="292"/>
        <v>29.259089808362852</v>
      </c>
      <c r="AF166" s="9">
        <f t="shared" si="293"/>
        <v>20.293972473631765</v>
      </c>
      <c r="AG166" s="115">
        <f t="shared" si="294"/>
        <v>0.69359548114963332</v>
      </c>
      <c r="AH166" s="116">
        <f t="shared" si="295"/>
        <v>8.9651173347310866</v>
      </c>
      <c r="AI166" s="97">
        <f t="shared" si="307"/>
        <v>1.7165332687572872</v>
      </c>
      <c r="AJ166" s="9"/>
      <c r="AK166" s="9">
        <f>GFA!AJ167</f>
        <v>32.510099787069834</v>
      </c>
      <c r="AL166" s="9">
        <f>GFA!AL167</f>
        <v>0</v>
      </c>
      <c r="AM166" s="97">
        <f t="shared" si="296"/>
        <v>29.259089808362852</v>
      </c>
      <c r="AN166" s="9">
        <f t="shared" si="297"/>
        <v>22.010505742389054</v>
      </c>
      <c r="AO166" s="115">
        <f t="shared" si="298"/>
        <v>0.75226214781630008</v>
      </c>
      <c r="AP166" s="116">
        <f t="shared" si="299"/>
        <v>7.2485840659737981</v>
      </c>
      <c r="AQ166" s="97">
        <f t="shared" si="308"/>
        <v>0.66076427219451206</v>
      </c>
      <c r="AR166" s="9"/>
      <c r="AS166" s="9">
        <f>GFA!AR167</f>
        <v>32.510099787069834</v>
      </c>
      <c r="AT166" s="9">
        <f>GFA!AT167</f>
        <v>0</v>
      </c>
      <c r="AU166" s="97">
        <f t="shared" si="300"/>
        <v>29.259089808362852</v>
      </c>
      <c r="AV166" s="9">
        <f t="shared" si="301"/>
        <v>22.671270014583566</v>
      </c>
      <c r="AW166" s="115">
        <f t="shared" si="302"/>
        <v>0.77484536132438575</v>
      </c>
      <c r="AX166" s="116">
        <f t="shared" si="303"/>
        <v>6.5878197937792855</v>
      </c>
      <c r="AY166" s="97">
        <f t="shared" si="309"/>
        <v>0.66076427219451206</v>
      </c>
    </row>
    <row r="167" spans="2:51" x14ac:dyDescent="0.35">
      <c r="B167" s="7" t="s">
        <v>142</v>
      </c>
      <c r="C167" s="14">
        <v>9.5000000000000001E-2</v>
      </c>
      <c r="D167" s="9"/>
      <c r="E167" s="9">
        <f>GFA!D168</f>
        <v>0.39714038244513483</v>
      </c>
      <c r="F167" s="9">
        <f>GFA!F168</f>
        <v>0.29498795506917308</v>
      </c>
      <c r="G167" s="97">
        <f t="shared" si="281"/>
        <v>0.62291550376287719</v>
      </c>
      <c r="H167" s="9">
        <v>0.27896709055054225</v>
      </c>
      <c r="I167" s="115">
        <f t="shared" si="282"/>
        <v>0.44784098142584611</v>
      </c>
      <c r="J167" s="116">
        <f t="shared" si="283"/>
        <v>0.34394841321233494</v>
      </c>
      <c r="K167" s="97">
        <f t="shared" si="304"/>
        <v>5.1740264198073538E-2</v>
      </c>
      <c r="L167" s="9"/>
      <c r="M167" s="9">
        <f>GFA!L168</f>
        <v>0.69212833751430791</v>
      </c>
      <c r="N167" s="9">
        <f>GFA!N168</f>
        <v>4.2300478228174281E-2</v>
      </c>
      <c r="O167" s="97">
        <f t="shared" si="284"/>
        <v>0.66098593416823404</v>
      </c>
      <c r="P167" s="9">
        <f t="shared" si="285"/>
        <v>0.33070735474861579</v>
      </c>
      <c r="Q167" s="115">
        <f t="shared" si="286"/>
        <v>0.50032434527486358</v>
      </c>
      <c r="R167" s="116">
        <f t="shared" si="287"/>
        <v>0.33027857941961825</v>
      </c>
      <c r="S167" s="97">
        <f t="shared" si="305"/>
        <v>6.7761464779697522E-2</v>
      </c>
      <c r="T167" s="9"/>
      <c r="U167" s="9">
        <f>GFA!T168</f>
        <v>0.7344288157424822</v>
      </c>
      <c r="V167" s="9">
        <f>GFA!V168</f>
        <v>1.668495551774027</v>
      </c>
      <c r="W167" s="97">
        <f t="shared" si="288"/>
        <v>2.1626319307648583</v>
      </c>
      <c r="X167" s="9">
        <f t="shared" si="289"/>
        <v>0.39846881952831331</v>
      </c>
      <c r="Y167" s="115">
        <f t="shared" si="290"/>
        <v>0.18425179701632668</v>
      </c>
      <c r="Z167" s="116">
        <f t="shared" si="291"/>
        <v>1.764163111236545</v>
      </c>
      <c r="AA167" s="97">
        <f t="shared" si="306"/>
        <v>0.14902427620480208</v>
      </c>
      <c r="AB167" s="9"/>
      <c r="AC167" s="9">
        <f>GFA!AB168</f>
        <v>2.4029243675165093</v>
      </c>
      <c r="AD167" s="9">
        <f>GFA!AD168</f>
        <v>0</v>
      </c>
      <c r="AE167" s="97">
        <f t="shared" si="292"/>
        <v>2.1626319307648583</v>
      </c>
      <c r="AF167" s="9">
        <f t="shared" si="293"/>
        <v>0.54749309573311544</v>
      </c>
      <c r="AG167" s="115">
        <f t="shared" si="294"/>
        <v>0.25316055309489649</v>
      </c>
      <c r="AH167" s="116">
        <f t="shared" si="295"/>
        <v>1.6151388350317428</v>
      </c>
      <c r="AI167" s="97">
        <f t="shared" si="307"/>
        <v>0.22827781491406837</v>
      </c>
      <c r="AJ167" s="9"/>
      <c r="AK167" s="9">
        <f>GFA!AJ168</f>
        <v>2.4029243675165093</v>
      </c>
      <c r="AL167" s="9">
        <f>GFA!AL168</f>
        <v>0</v>
      </c>
      <c r="AM167" s="97">
        <f t="shared" si="296"/>
        <v>2.1626319307648583</v>
      </c>
      <c r="AN167" s="9">
        <f t="shared" si="297"/>
        <v>0.77577091064718384</v>
      </c>
      <c r="AO167" s="115">
        <f t="shared" si="298"/>
        <v>0.35871610865045206</v>
      </c>
      <c r="AP167" s="116">
        <f t="shared" si="299"/>
        <v>1.3868610201176743</v>
      </c>
      <c r="AQ167" s="97">
        <f t="shared" si="308"/>
        <v>0.22827781491406837</v>
      </c>
      <c r="AR167" s="9"/>
      <c r="AS167" s="9">
        <f>GFA!AR168</f>
        <v>2.4029243675165093</v>
      </c>
      <c r="AT167" s="9">
        <f>GFA!AT168</f>
        <v>0</v>
      </c>
      <c r="AU167" s="97">
        <f t="shared" si="300"/>
        <v>2.1626319307648583</v>
      </c>
      <c r="AV167" s="9">
        <f t="shared" si="301"/>
        <v>1.0040487255612522</v>
      </c>
      <c r="AW167" s="115">
        <f t="shared" si="302"/>
        <v>0.46427166420600763</v>
      </c>
      <c r="AX167" s="116">
        <f t="shared" si="303"/>
        <v>1.158583205203606</v>
      </c>
      <c r="AY167" s="97">
        <f t="shared" si="309"/>
        <v>0.22827781491406837</v>
      </c>
    </row>
    <row r="168" spans="2:51" x14ac:dyDescent="0.35">
      <c r="B168" s="7" t="s">
        <v>143</v>
      </c>
      <c r="C168" s="14">
        <v>6.3299999999999995E-2</v>
      </c>
      <c r="D168" s="9"/>
      <c r="E168" s="9">
        <f>GFA!D169</f>
        <v>1.2348765056909148</v>
      </c>
      <c r="F168" s="9">
        <f>GFA!F169</f>
        <v>0.29425229210771986</v>
      </c>
      <c r="G168" s="97">
        <f t="shared" si="281"/>
        <v>1.3762159180187714</v>
      </c>
      <c r="H168" s="9">
        <v>0.84008434305521318</v>
      </c>
      <c r="I168" s="115">
        <f t="shared" si="282"/>
        <v>0.6104306250610847</v>
      </c>
      <c r="J168" s="116">
        <f t="shared" si="283"/>
        <v>0.53613157496355823</v>
      </c>
      <c r="K168" s="97">
        <f t="shared" si="304"/>
        <v>8.748076785544423E-2</v>
      </c>
      <c r="L168" s="9"/>
      <c r="M168" s="9">
        <f>GFA!L169</f>
        <v>1.5291287977986348</v>
      </c>
      <c r="N168" s="9">
        <f>GFA!N169</f>
        <v>0.12791952592345007</v>
      </c>
      <c r="O168" s="97">
        <f t="shared" si="284"/>
        <v>1.4913434913498764</v>
      </c>
      <c r="P168" s="9">
        <f t="shared" si="285"/>
        <v>0.92756511091065741</v>
      </c>
      <c r="Q168" s="115">
        <f t="shared" si="286"/>
        <v>0.62196611061820506</v>
      </c>
      <c r="R168" s="116">
        <f t="shared" si="287"/>
        <v>0.56377838043921902</v>
      </c>
      <c r="S168" s="97">
        <f t="shared" si="305"/>
        <v>0.10084250589613077</v>
      </c>
      <c r="T168" s="9"/>
      <c r="U168" s="9">
        <f>GFA!T169</f>
        <v>1.6570483237220848</v>
      </c>
      <c r="V168" s="9">
        <f>GFA!V169</f>
        <v>0.20850637316127921</v>
      </c>
      <c r="W168" s="97">
        <f t="shared" si="288"/>
        <v>1.6789992271950276</v>
      </c>
      <c r="X168" s="9">
        <f t="shared" si="289"/>
        <v>1.0284076168067882</v>
      </c>
      <c r="Y168" s="115">
        <f t="shared" si="290"/>
        <v>0.61251226334682007</v>
      </c>
      <c r="Z168" s="116">
        <f t="shared" si="291"/>
        <v>0.65059161038823943</v>
      </c>
      <c r="AA168" s="97">
        <f t="shared" si="306"/>
        <v>0.11149038560216244</v>
      </c>
      <c r="AB168" s="9"/>
      <c r="AC168" s="9">
        <f>GFA!AB169</f>
        <v>1.8655546968833641</v>
      </c>
      <c r="AD168" s="9">
        <f>GFA!AD169</f>
        <v>0</v>
      </c>
      <c r="AE168" s="97">
        <f t="shared" si="292"/>
        <v>1.6789992271950276</v>
      </c>
      <c r="AF168" s="9">
        <f t="shared" si="293"/>
        <v>1.1398980024089507</v>
      </c>
      <c r="AG168" s="115">
        <f t="shared" si="294"/>
        <v>0.67891514417983911</v>
      </c>
      <c r="AH168" s="116">
        <f t="shared" si="295"/>
        <v>0.53910122478607692</v>
      </c>
      <c r="AI168" s="97">
        <f t="shared" si="307"/>
        <v>0.11808961231271693</v>
      </c>
      <c r="AJ168" s="9"/>
      <c r="AK168" s="9">
        <f>GFA!AJ169</f>
        <v>1.8655546968833641</v>
      </c>
      <c r="AL168" s="9">
        <f>GFA!AL169</f>
        <v>0</v>
      </c>
      <c r="AM168" s="97">
        <f t="shared" si="296"/>
        <v>1.6789992271950276</v>
      </c>
      <c r="AN168" s="9">
        <f t="shared" si="297"/>
        <v>1.2579876147216675</v>
      </c>
      <c r="AO168" s="115">
        <f t="shared" si="298"/>
        <v>0.74924847751317247</v>
      </c>
      <c r="AP168" s="116">
        <f t="shared" si="299"/>
        <v>0.42101161247336005</v>
      </c>
      <c r="AQ168" s="97">
        <f t="shared" si="308"/>
        <v>3.8378451456094809E-2</v>
      </c>
      <c r="AR168" s="9"/>
      <c r="AS168" s="9">
        <f>GFA!AR169</f>
        <v>1.8655546968833641</v>
      </c>
      <c r="AT168" s="9">
        <f>GFA!AT169</f>
        <v>0</v>
      </c>
      <c r="AU168" s="97">
        <f t="shared" si="300"/>
        <v>1.6789992271950276</v>
      </c>
      <c r="AV168" s="9">
        <f t="shared" si="301"/>
        <v>1.2963660661777623</v>
      </c>
      <c r="AW168" s="115">
        <f t="shared" si="302"/>
        <v>0.77210641028316584</v>
      </c>
      <c r="AX168" s="116">
        <f t="shared" si="303"/>
        <v>0.3826331610172653</v>
      </c>
      <c r="AY168" s="97">
        <f t="shared" si="309"/>
        <v>3.8378451456094809E-2</v>
      </c>
    </row>
    <row r="169" spans="2:51" x14ac:dyDescent="0.35">
      <c r="B169" s="7" t="s">
        <v>144</v>
      </c>
      <c r="C169" s="14">
        <v>6.3299999999999995E-2</v>
      </c>
      <c r="D169" s="9"/>
      <c r="E169" s="9">
        <f>GFA!D170</f>
        <v>3.2967735868613577</v>
      </c>
      <c r="F169" s="9">
        <f>GFA!F170</f>
        <v>2.6012337865750603E-2</v>
      </c>
      <c r="G169" s="97">
        <f t="shared" si="281"/>
        <v>2.9905073322543974</v>
      </c>
      <c r="H169" s="9">
        <v>1.1688894862725059</v>
      </c>
      <c r="I169" s="115">
        <f t="shared" si="282"/>
        <v>0.39086661773583992</v>
      </c>
      <c r="J169" s="116">
        <f t="shared" si="283"/>
        <v>1.8216178459818915</v>
      </c>
      <c r="K169" s="97">
        <f t="shared" si="304"/>
        <v>0.20950905854177493</v>
      </c>
      <c r="L169" s="9"/>
      <c r="M169" s="9">
        <f>GFA!L170</f>
        <v>3.3227859247271083</v>
      </c>
      <c r="N169" s="9">
        <f>GFA!N170</f>
        <v>1.1292164979642794E-2</v>
      </c>
      <c r="O169" s="97">
        <f t="shared" si="284"/>
        <v>3.0006702807360761</v>
      </c>
      <c r="P169" s="9">
        <f t="shared" si="285"/>
        <v>1.3783985448142808</v>
      </c>
      <c r="Q169" s="115">
        <f t="shared" si="286"/>
        <v>0.45936354742586188</v>
      </c>
      <c r="R169" s="116">
        <f t="shared" si="287"/>
        <v>1.6222717359217953</v>
      </c>
      <c r="S169" s="97">
        <f t="shared" si="305"/>
        <v>0.21068974605683163</v>
      </c>
      <c r="T169" s="9"/>
      <c r="U169" s="9">
        <f>GFA!T170</f>
        <v>3.3340780897067512</v>
      </c>
      <c r="V169" s="9">
        <f>GFA!V170</f>
        <v>0</v>
      </c>
      <c r="W169" s="97">
        <f t="shared" si="288"/>
        <v>3.0006702807360761</v>
      </c>
      <c r="X169" s="9">
        <f t="shared" si="289"/>
        <v>1.5890882908711124</v>
      </c>
      <c r="Y169" s="115">
        <f t="shared" si="290"/>
        <v>0.52957777503008518</v>
      </c>
      <c r="Z169" s="116">
        <f t="shared" si="291"/>
        <v>1.4115819898649637</v>
      </c>
      <c r="AA169" s="97">
        <f t="shared" si="306"/>
        <v>0.21104714307843733</v>
      </c>
      <c r="AB169" s="9"/>
      <c r="AC169" s="9">
        <f>GFA!AB170</f>
        <v>3.3340780897067512</v>
      </c>
      <c r="AD169" s="9">
        <f>GFA!AD170</f>
        <v>0</v>
      </c>
      <c r="AE169" s="97">
        <f t="shared" si="292"/>
        <v>3.0006702807360761</v>
      </c>
      <c r="AF169" s="9">
        <f t="shared" si="293"/>
        <v>1.8001354339495497</v>
      </c>
      <c r="AG169" s="115">
        <f t="shared" si="294"/>
        <v>0.59991110836341854</v>
      </c>
      <c r="AH169" s="116">
        <f t="shared" si="295"/>
        <v>1.2005348467865264</v>
      </c>
      <c r="AI169" s="97">
        <f t="shared" si="307"/>
        <v>0.21104714307843733</v>
      </c>
      <c r="AJ169" s="9"/>
      <c r="AK169" s="9">
        <f>GFA!AJ170</f>
        <v>3.3340780897067512</v>
      </c>
      <c r="AL169" s="9">
        <f>GFA!AL170</f>
        <v>0</v>
      </c>
      <c r="AM169" s="97">
        <f t="shared" si="296"/>
        <v>3.0006702807360761</v>
      </c>
      <c r="AN169" s="9">
        <f t="shared" si="297"/>
        <v>2.011182577027987</v>
      </c>
      <c r="AO169" s="115">
        <f t="shared" si="298"/>
        <v>0.6702444416967519</v>
      </c>
      <c r="AP169" s="116">
        <f t="shared" si="299"/>
        <v>0.98948770370808914</v>
      </c>
      <c r="AQ169" s="97">
        <f t="shared" si="308"/>
        <v>0.21104714307843733</v>
      </c>
      <c r="AR169" s="9"/>
      <c r="AS169" s="9">
        <f>GFA!AR170</f>
        <v>3.3340780897067512</v>
      </c>
      <c r="AT169" s="9">
        <f>GFA!AT170</f>
        <v>0</v>
      </c>
      <c r="AU169" s="97">
        <f t="shared" si="300"/>
        <v>3.0006702807360761</v>
      </c>
      <c r="AV169" s="9">
        <f t="shared" si="301"/>
        <v>2.2222297201064243</v>
      </c>
      <c r="AW169" s="115">
        <f t="shared" si="302"/>
        <v>0.74057777503008515</v>
      </c>
      <c r="AX169" s="116">
        <f t="shared" si="303"/>
        <v>0.77844056062965183</v>
      </c>
      <c r="AY169" s="97">
        <f t="shared" si="309"/>
        <v>7.8078290935772496E-2</v>
      </c>
    </row>
    <row r="170" spans="2:51" x14ac:dyDescent="0.35">
      <c r="B170" s="7" t="s">
        <v>145</v>
      </c>
      <c r="C170" s="14">
        <v>6.3299999999999995E-2</v>
      </c>
      <c r="D170" s="9"/>
      <c r="E170" s="9">
        <f>GFA!D171</f>
        <v>0</v>
      </c>
      <c r="F170" s="9">
        <f>GFA!F171</f>
        <v>0</v>
      </c>
      <c r="G170" s="97">
        <f t="shared" si="281"/>
        <v>0</v>
      </c>
      <c r="H170" s="9">
        <v>0</v>
      </c>
      <c r="I170" s="115">
        <f t="shared" si="282"/>
        <v>0</v>
      </c>
      <c r="J170" s="116">
        <f t="shared" si="283"/>
        <v>0</v>
      </c>
      <c r="K170" s="97">
        <f t="shared" si="304"/>
        <v>0</v>
      </c>
      <c r="L170" s="9"/>
      <c r="M170" s="9">
        <f>GFA!L171</f>
        <v>0</v>
      </c>
      <c r="N170" s="9">
        <f>GFA!N171</f>
        <v>0</v>
      </c>
      <c r="O170" s="97">
        <f t="shared" si="284"/>
        <v>0</v>
      </c>
      <c r="P170" s="9">
        <f t="shared" si="285"/>
        <v>0</v>
      </c>
      <c r="Q170" s="115">
        <f t="shared" si="286"/>
        <v>0</v>
      </c>
      <c r="R170" s="116">
        <f t="shared" si="287"/>
        <v>0</v>
      </c>
      <c r="S170" s="97">
        <f t="shared" si="305"/>
        <v>0</v>
      </c>
      <c r="T170" s="9"/>
      <c r="U170" s="9">
        <f>GFA!T171</f>
        <v>0</v>
      </c>
      <c r="V170" s="9">
        <f>GFA!V171</f>
        <v>0</v>
      </c>
      <c r="W170" s="97">
        <f t="shared" si="288"/>
        <v>0</v>
      </c>
      <c r="X170" s="9">
        <f t="shared" si="289"/>
        <v>0</v>
      </c>
      <c r="Y170" s="115">
        <f t="shared" si="290"/>
        <v>0</v>
      </c>
      <c r="Z170" s="116">
        <f t="shared" si="291"/>
        <v>0</v>
      </c>
      <c r="AA170" s="97">
        <f t="shared" si="306"/>
        <v>0</v>
      </c>
      <c r="AB170" s="9"/>
      <c r="AC170" s="9">
        <f>GFA!AB171</f>
        <v>0</v>
      </c>
      <c r="AD170" s="9">
        <f>GFA!AD171</f>
        <v>0</v>
      </c>
      <c r="AE170" s="97">
        <f t="shared" si="292"/>
        <v>0</v>
      </c>
      <c r="AF170" s="9">
        <f t="shared" si="293"/>
        <v>0</v>
      </c>
      <c r="AG170" s="115">
        <f t="shared" si="294"/>
        <v>0</v>
      </c>
      <c r="AH170" s="116">
        <f t="shared" si="295"/>
        <v>0</v>
      </c>
      <c r="AI170" s="97">
        <f t="shared" si="307"/>
        <v>0</v>
      </c>
      <c r="AJ170" s="9"/>
      <c r="AK170" s="9">
        <f>GFA!AJ171</f>
        <v>0</v>
      </c>
      <c r="AL170" s="9">
        <f>GFA!AL171</f>
        <v>0</v>
      </c>
      <c r="AM170" s="97">
        <f t="shared" si="296"/>
        <v>0</v>
      </c>
      <c r="AN170" s="9">
        <f t="shared" si="297"/>
        <v>0</v>
      </c>
      <c r="AO170" s="115">
        <f t="shared" si="298"/>
        <v>0</v>
      </c>
      <c r="AP170" s="116">
        <f t="shared" si="299"/>
        <v>0</v>
      </c>
      <c r="AQ170" s="97">
        <f t="shared" si="308"/>
        <v>0</v>
      </c>
      <c r="AR170" s="9"/>
      <c r="AS170" s="9">
        <f>GFA!AR171</f>
        <v>0</v>
      </c>
      <c r="AT170" s="9">
        <f>GFA!AT171</f>
        <v>0</v>
      </c>
      <c r="AU170" s="97">
        <f t="shared" si="300"/>
        <v>0</v>
      </c>
      <c r="AV170" s="9">
        <f t="shared" si="301"/>
        <v>0</v>
      </c>
      <c r="AW170" s="115">
        <f t="shared" si="302"/>
        <v>0</v>
      </c>
      <c r="AX170" s="116">
        <f t="shared" si="303"/>
        <v>0</v>
      </c>
      <c r="AY170" s="97">
        <f t="shared" si="309"/>
        <v>0</v>
      </c>
    </row>
    <row r="171" spans="2:51" x14ac:dyDescent="0.35">
      <c r="B171" s="7" t="s">
        <v>146</v>
      </c>
      <c r="C171" s="14">
        <v>0.15</v>
      </c>
      <c r="D171" s="9"/>
      <c r="E171" s="9">
        <f>GFA!D172</f>
        <v>0</v>
      </c>
      <c r="F171" s="9">
        <f>GFA!F172</f>
        <v>0.10369218304688214</v>
      </c>
      <c r="G171" s="97">
        <f t="shared" si="281"/>
        <v>9.3322964742193926E-2</v>
      </c>
      <c r="H171" s="9">
        <v>0</v>
      </c>
      <c r="I171" s="115">
        <f t="shared" si="282"/>
        <v>0</v>
      </c>
      <c r="J171" s="116">
        <f t="shared" si="283"/>
        <v>9.3322964742193926E-2</v>
      </c>
      <c r="K171" s="97">
        <f t="shared" si="304"/>
        <v>7.7769137285161605E-3</v>
      </c>
      <c r="L171" s="9"/>
      <c r="M171" s="9">
        <f>GFA!L172</f>
        <v>0.10369218304688214</v>
      </c>
      <c r="N171" s="9">
        <f>GFA!N172</f>
        <v>5.3208380094602228E-2</v>
      </c>
      <c r="O171" s="97">
        <f t="shared" si="284"/>
        <v>0.14121050682733594</v>
      </c>
      <c r="P171" s="9">
        <f t="shared" si="285"/>
        <v>7.7769137285161605E-3</v>
      </c>
      <c r="Q171" s="115">
        <f t="shared" si="286"/>
        <v>5.5073194645674083E-2</v>
      </c>
      <c r="R171" s="116">
        <f t="shared" si="287"/>
        <v>0.13343359309881977</v>
      </c>
      <c r="S171" s="97">
        <f t="shared" si="305"/>
        <v>1.9544455964127488E-2</v>
      </c>
      <c r="T171" s="9"/>
      <c r="U171" s="9">
        <f>GFA!T172</f>
        <v>0.15690056314148437</v>
      </c>
      <c r="V171" s="9">
        <f>GFA!V172</f>
        <v>0.26157251118318325</v>
      </c>
      <c r="W171" s="97">
        <f t="shared" si="288"/>
        <v>0.3766257668922009</v>
      </c>
      <c r="X171" s="9">
        <f t="shared" si="289"/>
        <v>2.7321369692643649E-2</v>
      </c>
      <c r="Y171" s="115">
        <f t="shared" si="290"/>
        <v>7.2542486718556523E-2</v>
      </c>
      <c r="Z171" s="116">
        <f t="shared" si="291"/>
        <v>0.34930439719955725</v>
      </c>
      <c r="AA171" s="97">
        <f t="shared" si="306"/>
        <v>4.3153022809961396E-2</v>
      </c>
      <c r="AB171" s="9"/>
      <c r="AC171" s="9">
        <f>GFA!AB172</f>
        <v>0.41847307432466763</v>
      </c>
      <c r="AD171" s="9">
        <f>GFA!AD172</f>
        <v>0</v>
      </c>
      <c r="AE171" s="97">
        <f t="shared" si="292"/>
        <v>0.3766257668922009</v>
      </c>
      <c r="AF171" s="9">
        <f t="shared" si="293"/>
        <v>7.0474392502605038E-2</v>
      </c>
      <c r="AG171" s="115">
        <f t="shared" si="294"/>
        <v>0.18712047527745615</v>
      </c>
      <c r="AH171" s="116">
        <f t="shared" si="295"/>
        <v>0.30615137438959583</v>
      </c>
      <c r="AI171" s="97">
        <f t="shared" si="307"/>
        <v>6.2770961148700136E-2</v>
      </c>
      <c r="AJ171" s="9"/>
      <c r="AK171" s="9">
        <f>GFA!AJ172</f>
        <v>0.41847307432466763</v>
      </c>
      <c r="AL171" s="9">
        <f>GFA!AL172</f>
        <v>0</v>
      </c>
      <c r="AM171" s="97">
        <f t="shared" si="296"/>
        <v>0.3766257668922009</v>
      </c>
      <c r="AN171" s="9">
        <f t="shared" si="297"/>
        <v>0.13324535365130519</v>
      </c>
      <c r="AO171" s="115">
        <f t="shared" si="298"/>
        <v>0.35378714194412281</v>
      </c>
      <c r="AP171" s="116">
        <f t="shared" si="299"/>
        <v>0.24338041324089571</v>
      </c>
      <c r="AQ171" s="97">
        <f t="shared" si="308"/>
        <v>6.2770961148700136E-2</v>
      </c>
      <c r="AR171" s="9"/>
      <c r="AS171" s="9">
        <f>GFA!AR172</f>
        <v>0.41847307432466763</v>
      </c>
      <c r="AT171" s="9">
        <f>GFA!AT172</f>
        <v>0</v>
      </c>
      <c r="AU171" s="97">
        <f t="shared" si="300"/>
        <v>0.3766257668922009</v>
      </c>
      <c r="AV171" s="9">
        <f t="shared" si="301"/>
        <v>0.19601631480000531</v>
      </c>
      <c r="AW171" s="115">
        <f t="shared" si="302"/>
        <v>0.52045380861078938</v>
      </c>
      <c r="AX171" s="116">
        <f t="shared" si="303"/>
        <v>0.18060945209219559</v>
      </c>
      <c r="AY171" s="97">
        <f t="shared" si="309"/>
        <v>6.2770961148700136E-2</v>
      </c>
    </row>
    <row r="172" spans="2:51" x14ac:dyDescent="0.35">
      <c r="B172" s="7" t="s">
        <v>147</v>
      </c>
      <c r="C172" s="14">
        <v>0.3</v>
      </c>
      <c r="D172" s="9"/>
      <c r="E172" s="9">
        <f>GFA!D173</f>
        <v>0</v>
      </c>
      <c r="F172" s="9">
        <f>GFA!F173</f>
        <v>0</v>
      </c>
      <c r="G172" s="97">
        <f t="shared" si="281"/>
        <v>0</v>
      </c>
      <c r="H172" s="9">
        <v>0</v>
      </c>
      <c r="I172" s="115">
        <f t="shared" si="282"/>
        <v>0</v>
      </c>
      <c r="J172" s="116">
        <f t="shared" si="283"/>
        <v>0</v>
      </c>
      <c r="K172" s="97">
        <f t="shared" si="304"/>
        <v>0</v>
      </c>
      <c r="L172" s="9"/>
      <c r="M172" s="9">
        <f>GFA!L173</f>
        <v>0</v>
      </c>
      <c r="N172" s="9">
        <f>GFA!N173</f>
        <v>0</v>
      </c>
      <c r="O172" s="97">
        <f t="shared" si="284"/>
        <v>0</v>
      </c>
      <c r="P172" s="9">
        <f t="shared" si="285"/>
        <v>0</v>
      </c>
      <c r="Q172" s="115">
        <f t="shared" si="286"/>
        <v>0</v>
      </c>
      <c r="R172" s="116">
        <f t="shared" si="287"/>
        <v>0</v>
      </c>
      <c r="S172" s="97">
        <f t="shared" si="305"/>
        <v>0</v>
      </c>
      <c r="T172" s="9"/>
      <c r="U172" s="9">
        <f>GFA!T173</f>
        <v>0</v>
      </c>
      <c r="V172" s="9">
        <f>GFA!V173</f>
        <v>1.2302536663739264E-2</v>
      </c>
      <c r="W172" s="97">
        <f t="shared" si="288"/>
        <v>1.1072282997365339E-2</v>
      </c>
      <c r="X172" s="9">
        <f t="shared" si="289"/>
        <v>0</v>
      </c>
      <c r="Y172" s="115">
        <f t="shared" si="290"/>
        <v>0</v>
      </c>
      <c r="Z172" s="116">
        <f t="shared" si="291"/>
        <v>1.1072282997365339E-2</v>
      </c>
      <c r="AA172" s="97">
        <f t="shared" si="306"/>
        <v>1.8453804995608896E-3</v>
      </c>
      <c r="AB172" s="9"/>
      <c r="AC172" s="9">
        <f>GFA!AB173</f>
        <v>1.2302536663739264E-2</v>
      </c>
      <c r="AD172" s="9">
        <f>GFA!AD173</f>
        <v>0</v>
      </c>
      <c r="AE172" s="97">
        <f t="shared" si="292"/>
        <v>1.1072282997365339E-2</v>
      </c>
      <c r="AF172" s="9">
        <f t="shared" si="293"/>
        <v>1.8453804995608896E-3</v>
      </c>
      <c r="AG172" s="115">
        <f t="shared" si="294"/>
        <v>0.16666666666666666</v>
      </c>
      <c r="AH172" s="116">
        <f t="shared" si="295"/>
        <v>9.2269024978044491E-3</v>
      </c>
      <c r="AI172" s="97">
        <f t="shared" si="307"/>
        <v>3.6907609991217792E-3</v>
      </c>
      <c r="AJ172" s="9"/>
      <c r="AK172" s="9">
        <f>GFA!AJ173</f>
        <v>1.2302536663739264E-2</v>
      </c>
      <c r="AL172" s="9">
        <f>GFA!AL173</f>
        <v>0</v>
      </c>
      <c r="AM172" s="97">
        <f t="shared" si="296"/>
        <v>1.1072282997365339E-2</v>
      </c>
      <c r="AN172" s="9">
        <f t="shared" si="297"/>
        <v>5.5361414986826686E-3</v>
      </c>
      <c r="AO172" s="115">
        <f t="shared" si="298"/>
        <v>0.49999999999999994</v>
      </c>
      <c r="AP172" s="116">
        <f t="shared" si="299"/>
        <v>5.5361414986826703E-3</v>
      </c>
      <c r="AQ172" s="97">
        <f t="shared" si="308"/>
        <v>3.6907609991217792E-3</v>
      </c>
      <c r="AR172" s="9"/>
      <c r="AS172" s="9">
        <f>GFA!AR173</f>
        <v>1.2302536663739264E-2</v>
      </c>
      <c r="AT172" s="9">
        <f>GFA!AT173</f>
        <v>0</v>
      </c>
      <c r="AU172" s="97">
        <f t="shared" si="300"/>
        <v>1.1072282997365339E-2</v>
      </c>
      <c r="AV172" s="9">
        <f t="shared" si="301"/>
        <v>9.2269024978044473E-3</v>
      </c>
      <c r="AW172" s="115">
        <f t="shared" si="302"/>
        <v>0.83333333333333315</v>
      </c>
      <c r="AX172" s="116">
        <f t="shared" si="303"/>
        <v>1.8453804995608915E-3</v>
      </c>
      <c r="AY172" s="97">
        <f t="shared" si="309"/>
        <v>1.8509332994592691E-4</v>
      </c>
    </row>
    <row r="173" spans="2:51" x14ac:dyDescent="0.35">
      <c r="B173" s="7" t="s">
        <v>148</v>
      </c>
      <c r="C173" s="14">
        <v>0.3</v>
      </c>
      <c r="D173" s="9"/>
      <c r="E173" s="9">
        <f>GFA!D174</f>
        <v>0</v>
      </c>
      <c r="F173" s="9">
        <f>GFA!F174</f>
        <v>0</v>
      </c>
      <c r="G173" s="97">
        <f t="shared" si="281"/>
        <v>0</v>
      </c>
      <c r="H173" s="9">
        <v>0</v>
      </c>
      <c r="I173" s="115">
        <f t="shared" si="282"/>
        <v>0</v>
      </c>
      <c r="J173" s="116">
        <f t="shared" si="283"/>
        <v>0</v>
      </c>
      <c r="K173" s="97">
        <f t="shared" si="304"/>
        <v>0</v>
      </c>
      <c r="L173" s="9"/>
      <c r="M173" s="9">
        <f>GFA!L174</f>
        <v>0</v>
      </c>
      <c r="N173" s="9">
        <f>GFA!N174</f>
        <v>0</v>
      </c>
      <c r="O173" s="97">
        <f t="shared" si="284"/>
        <v>0</v>
      </c>
      <c r="P173" s="9">
        <f t="shared" si="285"/>
        <v>0</v>
      </c>
      <c r="Q173" s="115">
        <f t="shared" si="286"/>
        <v>0</v>
      </c>
      <c r="R173" s="116">
        <f t="shared" si="287"/>
        <v>0</v>
      </c>
      <c r="S173" s="97">
        <f t="shared" si="305"/>
        <v>0</v>
      </c>
      <c r="T173" s="9"/>
      <c r="U173" s="9">
        <f>GFA!T174</f>
        <v>0</v>
      </c>
      <c r="V173" s="9">
        <f>GFA!V174</f>
        <v>0</v>
      </c>
      <c r="W173" s="97">
        <f t="shared" si="288"/>
        <v>0</v>
      </c>
      <c r="X173" s="9">
        <f t="shared" si="289"/>
        <v>0</v>
      </c>
      <c r="Y173" s="115">
        <f t="shared" si="290"/>
        <v>0</v>
      </c>
      <c r="Z173" s="116">
        <f t="shared" si="291"/>
        <v>0</v>
      </c>
      <c r="AA173" s="97">
        <f t="shared" si="306"/>
        <v>0</v>
      </c>
      <c r="AB173" s="9"/>
      <c r="AC173" s="9">
        <f>GFA!AB174</f>
        <v>0</v>
      </c>
      <c r="AD173" s="9">
        <f>GFA!AD174</f>
        <v>0</v>
      </c>
      <c r="AE173" s="97">
        <f t="shared" si="292"/>
        <v>0</v>
      </c>
      <c r="AF173" s="9">
        <f t="shared" si="293"/>
        <v>0</v>
      </c>
      <c r="AG173" s="115">
        <f t="shared" si="294"/>
        <v>0</v>
      </c>
      <c r="AH173" s="116">
        <f t="shared" si="295"/>
        <v>0</v>
      </c>
      <c r="AI173" s="97">
        <f t="shared" si="307"/>
        <v>0</v>
      </c>
      <c r="AJ173" s="9"/>
      <c r="AK173" s="9">
        <f>GFA!AJ174</f>
        <v>0</v>
      </c>
      <c r="AL173" s="9">
        <f>GFA!AL174</f>
        <v>0</v>
      </c>
      <c r="AM173" s="97">
        <f t="shared" si="296"/>
        <v>0</v>
      </c>
      <c r="AN173" s="9">
        <f t="shared" si="297"/>
        <v>0</v>
      </c>
      <c r="AO173" s="115">
        <f t="shared" si="298"/>
        <v>0</v>
      </c>
      <c r="AP173" s="116">
        <f t="shared" si="299"/>
        <v>0</v>
      </c>
      <c r="AQ173" s="97">
        <f t="shared" si="308"/>
        <v>0</v>
      </c>
      <c r="AR173" s="9"/>
      <c r="AS173" s="9">
        <f>GFA!AR174</f>
        <v>0</v>
      </c>
      <c r="AT173" s="9">
        <f>GFA!AT174</f>
        <v>0</v>
      </c>
      <c r="AU173" s="97">
        <f t="shared" si="300"/>
        <v>0</v>
      </c>
      <c r="AV173" s="9">
        <f t="shared" si="301"/>
        <v>0</v>
      </c>
      <c r="AW173" s="115">
        <f t="shared" si="302"/>
        <v>0</v>
      </c>
      <c r="AX173" s="116">
        <f t="shared" si="303"/>
        <v>0</v>
      </c>
      <c r="AY173" s="97">
        <f t="shared" si="309"/>
        <v>0</v>
      </c>
    </row>
    <row r="174" spans="2:51" ht="31" x14ac:dyDescent="0.35">
      <c r="B174" s="84" t="s">
        <v>149</v>
      </c>
      <c r="C174" s="117">
        <v>3.3399999999999999E-2</v>
      </c>
      <c r="D174" s="9"/>
      <c r="E174" s="9">
        <f>GFA!D175</f>
        <v>0</v>
      </c>
      <c r="F174" s="9">
        <f>GFA!F175</f>
        <v>0</v>
      </c>
      <c r="G174" s="97">
        <f t="shared" si="281"/>
        <v>0</v>
      </c>
      <c r="H174" s="9">
        <v>0</v>
      </c>
      <c r="I174" s="115">
        <f t="shared" si="282"/>
        <v>0</v>
      </c>
      <c r="J174" s="116">
        <f t="shared" si="283"/>
        <v>0</v>
      </c>
      <c r="K174" s="97">
        <f t="shared" si="304"/>
        <v>0</v>
      </c>
      <c r="L174" s="9"/>
      <c r="M174" s="9">
        <f>GFA!L175</f>
        <v>0</v>
      </c>
      <c r="N174" s="9">
        <f>GFA!N175</f>
        <v>0</v>
      </c>
      <c r="O174" s="97">
        <f t="shared" si="284"/>
        <v>0</v>
      </c>
      <c r="P174" s="9">
        <f t="shared" si="285"/>
        <v>0</v>
      </c>
      <c r="Q174" s="115">
        <f t="shared" si="286"/>
        <v>0</v>
      </c>
      <c r="R174" s="116">
        <f t="shared" si="287"/>
        <v>0</v>
      </c>
      <c r="S174" s="97">
        <f t="shared" si="305"/>
        <v>0</v>
      </c>
      <c r="T174" s="9"/>
      <c r="U174" s="9">
        <f>GFA!T175</f>
        <v>0</v>
      </c>
      <c r="V174" s="9">
        <f>GFA!V175</f>
        <v>0</v>
      </c>
      <c r="W174" s="97">
        <f t="shared" si="288"/>
        <v>0</v>
      </c>
      <c r="X174" s="9">
        <f t="shared" si="289"/>
        <v>0</v>
      </c>
      <c r="Y174" s="115">
        <f t="shared" si="290"/>
        <v>0</v>
      </c>
      <c r="Z174" s="116">
        <f t="shared" si="291"/>
        <v>0</v>
      </c>
      <c r="AA174" s="97">
        <f t="shared" si="306"/>
        <v>0</v>
      </c>
      <c r="AB174" s="9"/>
      <c r="AC174" s="9">
        <f>GFA!AB175</f>
        <v>0</v>
      </c>
      <c r="AD174" s="9">
        <f>GFA!AD175</f>
        <v>0</v>
      </c>
      <c r="AE174" s="97">
        <f t="shared" si="292"/>
        <v>0</v>
      </c>
      <c r="AF174" s="9">
        <f t="shared" si="293"/>
        <v>0</v>
      </c>
      <c r="AG174" s="115">
        <f t="shared" si="294"/>
        <v>0</v>
      </c>
      <c r="AH174" s="116">
        <f t="shared" si="295"/>
        <v>0</v>
      </c>
      <c r="AI174" s="97">
        <f t="shared" si="307"/>
        <v>0</v>
      </c>
      <c r="AJ174" s="9"/>
      <c r="AK174" s="9">
        <f>GFA!AJ175</f>
        <v>0</v>
      </c>
      <c r="AL174" s="9">
        <f>GFA!AL175</f>
        <v>0</v>
      </c>
      <c r="AM174" s="97">
        <f t="shared" si="296"/>
        <v>0</v>
      </c>
      <c r="AN174" s="9">
        <f t="shared" si="297"/>
        <v>0</v>
      </c>
      <c r="AO174" s="115">
        <f t="shared" si="298"/>
        <v>0</v>
      </c>
      <c r="AP174" s="116">
        <f t="shared" si="299"/>
        <v>0</v>
      </c>
      <c r="AQ174" s="97">
        <f t="shared" si="308"/>
        <v>0</v>
      </c>
      <c r="AR174" s="9"/>
      <c r="AS174" s="9">
        <f>GFA!AR175</f>
        <v>0</v>
      </c>
      <c r="AT174" s="9">
        <f>GFA!AT175</f>
        <v>0</v>
      </c>
      <c r="AU174" s="97">
        <f t="shared" si="300"/>
        <v>0</v>
      </c>
      <c r="AV174" s="9">
        <f t="shared" si="301"/>
        <v>0</v>
      </c>
      <c r="AW174" s="115">
        <f t="shared" si="302"/>
        <v>0</v>
      </c>
      <c r="AX174" s="116">
        <f t="shared" si="303"/>
        <v>0</v>
      </c>
      <c r="AY174" s="97">
        <f t="shared" si="309"/>
        <v>0</v>
      </c>
    </row>
    <row r="175" spans="2:51" x14ac:dyDescent="0.35">
      <c r="B175" s="12" t="s">
        <v>27</v>
      </c>
      <c r="C175" s="12"/>
      <c r="D175" s="13"/>
      <c r="E175" s="13">
        <f t="shared" ref="E175:AY175" si="310">SUM(E158:E174)</f>
        <v>2930.2949494062013</v>
      </c>
      <c r="F175" s="13">
        <f t="shared" si="310"/>
        <v>53.638449147999999</v>
      </c>
      <c r="G175" s="13">
        <f t="shared" si="310"/>
        <v>2685.5400586987807</v>
      </c>
      <c r="H175" s="13">
        <f t="shared" si="310"/>
        <v>1573.9567589917101</v>
      </c>
      <c r="I175" s="13"/>
      <c r="J175" s="13">
        <f t="shared" si="310"/>
        <v>1111.5832997070706</v>
      </c>
      <c r="K175" s="13">
        <f t="shared" si="310"/>
        <v>151.8318787864863</v>
      </c>
      <c r="L175" s="13"/>
      <c r="M175" s="13">
        <f t="shared" si="310"/>
        <v>2981.4073425762008</v>
      </c>
      <c r="N175" s="13">
        <f t="shared" si="310"/>
        <v>26.374344087000004</v>
      </c>
      <c r="O175" s="13">
        <f t="shared" si="310"/>
        <v>2707.0035179968804</v>
      </c>
      <c r="P175" s="13">
        <f t="shared" si="310"/>
        <v>1725.7886377781963</v>
      </c>
      <c r="Q175" s="13"/>
      <c r="R175" s="13">
        <f t="shared" si="310"/>
        <v>981.21488021868481</v>
      </c>
      <c r="S175" s="13">
        <f t="shared" si="310"/>
        <v>153.80161788920071</v>
      </c>
      <c r="T175" s="13"/>
      <c r="U175" s="13">
        <f t="shared" si="310"/>
        <v>3007.7816866632006</v>
      </c>
      <c r="V175" s="13">
        <f t="shared" si="310"/>
        <v>59.539999999999992</v>
      </c>
      <c r="W175" s="13">
        <f t="shared" si="310"/>
        <v>2760.5895179968802</v>
      </c>
      <c r="X175" s="13">
        <f t="shared" si="310"/>
        <v>1879.5902556673968</v>
      </c>
      <c r="Y175" s="13"/>
      <c r="Z175" s="13">
        <f t="shared" si="310"/>
        <v>880.99926232948417</v>
      </c>
      <c r="AA175" s="13">
        <f t="shared" si="310"/>
        <v>74.571867634907974</v>
      </c>
      <c r="AB175" s="13"/>
      <c r="AC175" s="13">
        <f t="shared" si="310"/>
        <v>3066.5850900632008</v>
      </c>
      <c r="AD175" s="13">
        <f t="shared" si="310"/>
        <v>37.570000000000007</v>
      </c>
      <c r="AE175" s="13">
        <f t="shared" si="310"/>
        <v>2793.7395810568801</v>
      </c>
      <c r="AF175" s="13">
        <f t="shared" si="310"/>
        <v>1954.162123302305</v>
      </c>
      <c r="AG175" s="13"/>
      <c r="AH175" s="13">
        <f t="shared" si="310"/>
        <v>839.57745775457613</v>
      </c>
      <c r="AI175" s="13">
        <f t="shared" si="310"/>
        <v>77.994798943821053</v>
      </c>
      <c r="AJ175" s="13"/>
      <c r="AK175" s="13">
        <f t="shared" si="310"/>
        <v>3104.155090063201</v>
      </c>
      <c r="AL175" s="13">
        <f t="shared" si="310"/>
        <v>25.8</v>
      </c>
      <c r="AM175" s="13">
        <f t="shared" si="310"/>
        <v>2816.9595810568803</v>
      </c>
      <c r="AN175" s="13">
        <f t="shared" si="310"/>
        <v>2032.156922246126</v>
      </c>
      <c r="AO175" s="13"/>
      <c r="AP175" s="13">
        <f t="shared" si="310"/>
        <v>784.80265881075513</v>
      </c>
      <c r="AQ175" s="13">
        <f t="shared" si="310"/>
        <v>75.932830685610611</v>
      </c>
      <c r="AR175" s="13"/>
      <c r="AS175" s="13">
        <f t="shared" si="310"/>
        <v>3129.9550900632012</v>
      </c>
      <c r="AT175" s="13">
        <f t="shared" si="310"/>
        <v>145.02000000000001</v>
      </c>
      <c r="AU175" s="13">
        <f t="shared" si="310"/>
        <v>2947.4775810568804</v>
      </c>
      <c r="AV175" s="13">
        <f t="shared" si="310"/>
        <v>2108.0897529317367</v>
      </c>
      <c r="AW175" s="13"/>
      <c r="AX175" s="13">
        <f t="shared" si="310"/>
        <v>839.38782812514467</v>
      </c>
      <c r="AY175" s="13">
        <f t="shared" si="310"/>
        <v>87.59625608770628</v>
      </c>
    </row>
    <row r="176" spans="2:51" x14ac:dyDescent="0.35">
      <c r="B176" s="70" t="s">
        <v>8</v>
      </c>
      <c r="C176" s="70"/>
      <c r="D176" s="118">
        <v>18.05</v>
      </c>
      <c r="E176" s="7"/>
      <c r="F176" s="7"/>
      <c r="G176" s="7"/>
      <c r="H176" s="7"/>
      <c r="I176" s="7"/>
      <c r="J176" s="7"/>
      <c r="K176" s="7"/>
      <c r="L176" s="118">
        <f>D176-1</f>
        <v>17.05</v>
      </c>
      <c r="M176" s="7"/>
      <c r="N176" s="7"/>
      <c r="O176" s="7"/>
      <c r="P176" s="7"/>
      <c r="Q176" s="7"/>
      <c r="R176" s="7"/>
      <c r="S176" s="7"/>
      <c r="T176" s="118">
        <f>L176-1</f>
        <v>16.05</v>
      </c>
      <c r="U176" s="7"/>
      <c r="V176" s="7"/>
      <c r="W176" s="7"/>
      <c r="X176" s="7"/>
      <c r="Y176" s="7"/>
      <c r="Z176" s="7"/>
      <c r="AA176" s="7"/>
      <c r="AB176" s="118">
        <f>T176-1</f>
        <v>15.05</v>
      </c>
      <c r="AC176" s="7"/>
      <c r="AD176" s="7"/>
      <c r="AE176" s="7"/>
      <c r="AF176" s="7"/>
      <c r="AG176" s="7"/>
      <c r="AH176" s="7"/>
      <c r="AI176" s="7"/>
      <c r="AJ176" s="118">
        <f>AB176-1</f>
        <v>14.05</v>
      </c>
      <c r="AK176" s="7"/>
      <c r="AL176" s="7"/>
      <c r="AM176" s="7"/>
      <c r="AN176" s="7"/>
      <c r="AO176" s="7"/>
      <c r="AP176" s="7"/>
      <c r="AQ176" s="7"/>
      <c r="AR176" s="118">
        <f>AJ176-1</f>
        <v>13.05</v>
      </c>
      <c r="AS176" s="9"/>
      <c r="AT176" s="9"/>
      <c r="AU176" s="9"/>
      <c r="AV176" s="9"/>
      <c r="AW176" s="9"/>
      <c r="AX176" s="9"/>
      <c r="AY176" s="9"/>
    </row>
    <row r="177" spans="2:51" x14ac:dyDescent="0.35">
      <c r="B177" s="7" t="s">
        <v>133</v>
      </c>
      <c r="C177" s="14">
        <v>0</v>
      </c>
      <c r="D177" s="9"/>
      <c r="E177" s="9">
        <f>GFA!D178</f>
        <v>1.189656864</v>
      </c>
      <c r="F177" s="9">
        <f>GFA!F178</f>
        <v>0</v>
      </c>
      <c r="G177" s="97">
        <f t="shared" ref="G177:G193" si="311">90%*(E177+F177)</f>
        <v>1.0706911776000001</v>
      </c>
      <c r="H177" s="9">
        <v>0</v>
      </c>
      <c r="I177" s="115">
        <f t="shared" ref="I177:I193" si="312">IFERROR(H177/G177,0)</f>
        <v>0</v>
      </c>
      <c r="J177" s="116">
        <f t="shared" ref="J177:J193" si="313">MAX(G177-H177,0)</f>
        <v>1.0706911776000001</v>
      </c>
      <c r="K177" s="97">
        <f>IF(I177&lt;70%,MIN(J177,(E177+F177/2)*$C177),J177/D$176)</f>
        <v>0</v>
      </c>
      <c r="L177" s="9"/>
      <c r="M177" s="9">
        <f>GFA!L178</f>
        <v>1.189656864</v>
      </c>
      <c r="N177" s="9">
        <f>GFA!N178</f>
        <v>0</v>
      </c>
      <c r="O177" s="97">
        <f t="shared" ref="O177:O193" si="314">90%*(M177+N177)</f>
        <v>1.0706911776000001</v>
      </c>
      <c r="P177" s="9">
        <f t="shared" ref="P177:P193" si="315">H177+K177</f>
        <v>0</v>
      </c>
      <c r="Q177" s="115">
        <f t="shared" ref="Q177:Q193" si="316">IFERROR(P177/O177,0)</f>
        <v>0</v>
      </c>
      <c r="R177" s="116">
        <f t="shared" ref="R177:R193" si="317">MAX(O177-P177,0)</f>
        <v>1.0706911776000001</v>
      </c>
      <c r="S177" s="97">
        <f>IF(Q177&lt;70%,MIN(R177,(M177+N177/2)*$C177),R177/L$176)</f>
        <v>0</v>
      </c>
      <c r="T177" s="9"/>
      <c r="U177" s="9">
        <f>GFA!T178</f>
        <v>1.189656864</v>
      </c>
      <c r="V177" s="9">
        <f>GFA!V178</f>
        <v>0</v>
      </c>
      <c r="W177" s="97">
        <f t="shared" ref="W177:W193" si="318">90%*(U177+V177)</f>
        <v>1.0706911776000001</v>
      </c>
      <c r="X177" s="9">
        <f t="shared" ref="X177:X193" si="319">P177+S177</f>
        <v>0</v>
      </c>
      <c r="Y177" s="115">
        <f t="shared" ref="Y177:Y193" si="320">IFERROR(X177/W177,0)</f>
        <v>0</v>
      </c>
      <c r="Z177" s="116">
        <f t="shared" ref="Z177:Z193" si="321">MAX(W177-X177,0)</f>
        <v>1.0706911776000001</v>
      </c>
      <c r="AA177" s="97">
        <f>IF(Y177&lt;70%,MIN(Z177,(U177+V177/2)*$C177),Z177/T$176)</f>
        <v>0</v>
      </c>
      <c r="AB177" s="9"/>
      <c r="AC177" s="9">
        <f>GFA!AB178</f>
        <v>1.189656864</v>
      </c>
      <c r="AD177" s="9">
        <f>GFA!AD178</f>
        <v>0</v>
      </c>
      <c r="AE177" s="97">
        <f t="shared" ref="AE177:AE193" si="322">90%*(AC177+AD177)</f>
        <v>1.0706911776000001</v>
      </c>
      <c r="AF177" s="9">
        <f t="shared" ref="AF177:AF193" si="323">X177+AA177</f>
        <v>0</v>
      </c>
      <c r="AG177" s="115">
        <f t="shared" ref="AG177:AG193" si="324">IFERROR(AF177/AE177,0)</f>
        <v>0</v>
      </c>
      <c r="AH177" s="116">
        <f t="shared" ref="AH177:AH193" si="325">MAX(AE177-AF177,0)</f>
        <v>1.0706911776000001</v>
      </c>
      <c r="AI177" s="97">
        <f>IF(AG177&lt;70%,MIN(AH177,(AC177+AD177/2)*$C177),AH177/AB$176)</f>
        <v>0</v>
      </c>
      <c r="AJ177" s="9"/>
      <c r="AK177" s="9">
        <f>GFA!AJ178</f>
        <v>1.189656864</v>
      </c>
      <c r="AL177" s="9">
        <f>GFA!AL178</f>
        <v>0</v>
      </c>
      <c r="AM177" s="97">
        <f t="shared" ref="AM177:AM193" si="326">90%*(AK177+AL177)</f>
        <v>1.0706911776000001</v>
      </c>
      <c r="AN177" s="9">
        <f t="shared" ref="AN177:AN193" si="327">AF177+AI177</f>
        <v>0</v>
      </c>
      <c r="AO177" s="115">
        <f t="shared" ref="AO177:AO193" si="328">IFERROR(AN177/AM177,0)</f>
        <v>0</v>
      </c>
      <c r="AP177" s="116">
        <f t="shared" ref="AP177:AP193" si="329">MAX(AM177-AN177,0)</f>
        <v>1.0706911776000001</v>
      </c>
      <c r="AQ177" s="97">
        <f>IF(AO177&lt;70%,MIN(AP177,(AK177+AL177/2)*$C177),AP177/AJ$176)</f>
        <v>0</v>
      </c>
      <c r="AR177" s="9"/>
      <c r="AS177" s="9">
        <f>GFA!AR178</f>
        <v>1.189656864</v>
      </c>
      <c r="AT177" s="9">
        <f>GFA!AT178</f>
        <v>0</v>
      </c>
      <c r="AU177" s="97">
        <f t="shared" ref="AU177:AU193" si="330">90%*(AS177+AT177)</f>
        <v>1.0706911776000001</v>
      </c>
      <c r="AV177" s="9">
        <f t="shared" ref="AV177:AV193" si="331">AN177+AQ177</f>
        <v>0</v>
      </c>
      <c r="AW177" s="115">
        <f t="shared" ref="AW177:AW193" si="332">IFERROR(AV177/AU177,0)</f>
        <v>0</v>
      </c>
      <c r="AX177" s="116">
        <f t="shared" ref="AX177:AX193" si="333">MAX(AU177-AV177,0)</f>
        <v>1.0706911776000001</v>
      </c>
      <c r="AY177" s="97">
        <f>IF(AW177&lt;70%,MIN(AX177,(AS177+AT177/2)*$C177),AX177/AR$176)</f>
        <v>0</v>
      </c>
    </row>
    <row r="178" spans="2:51" x14ac:dyDescent="0.35">
      <c r="B178" s="7" t="s">
        <v>134</v>
      </c>
      <c r="C178" s="14">
        <v>3.3399999999999999E-2</v>
      </c>
      <c r="D178" s="9"/>
      <c r="E178" s="9">
        <f>GFA!D179</f>
        <v>30.915385523478093</v>
      </c>
      <c r="F178" s="9">
        <f>GFA!F179</f>
        <v>0</v>
      </c>
      <c r="G178" s="97">
        <f t="shared" si="311"/>
        <v>27.823846971130283</v>
      </c>
      <c r="H178" s="9">
        <v>7.3734417755463113</v>
      </c>
      <c r="I178" s="115">
        <f t="shared" si="312"/>
        <v>0.26500439652348984</v>
      </c>
      <c r="J178" s="116">
        <f t="shared" si="313"/>
        <v>20.450405195583972</v>
      </c>
      <c r="K178" s="97">
        <f t="shared" ref="K178:K193" si="334">IF(I178&lt;70%,MIN(J178,(E178+F178/2)*$C178),J178/D$176)</f>
        <v>1.0325738764841683</v>
      </c>
      <c r="L178" s="9"/>
      <c r="M178" s="9">
        <f>GFA!L179</f>
        <v>30.915385523478093</v>
      </c>
      <c r="N178" s="9">
        <f>GFA!N179</f>
        <v>0</v>
      </c>
      <c r="O178" s="97">
        <f t="shared" si="314"/>
        <v>27.823846971130283</v>
      </c>
      <c r="P178" s="9">
        <f t="shared" si="315"/>
        <v>8.4060156520304794</v>
      </c>
      <c r="Q178" s="115">
        <f t="shared" si="316"/>
        <v>0.30211550763460093</v>
      </c>
      <c r="R178" s="116">
        <f t="shared" si="317"/>
        <v>19.417831319099804</v>
      </c>
      <c r="S178" s="97">
        <f t="shared" ref="S178:S193" si="335">IF(Q178&lt;70%,MIN(R178,(M178+N178/2)*$C178),R178/L$176)</f>
        <v>1.0325738764841683</v>
      </c>
      <c r="T178" s="9"/>
      <c r="U178" s="9">
        <f>GFA!T179</f>
        <v>30.915385523478093</v>
      </c>
      <c r="V178" s="9">
        <f>GFA!V179</f>
        <v>0</v>
      </c>
      <c r="W178" s="97">
        <f t="shared" si="318"/>
        <v>27.823846971130283</v>
      </c>
      <c r="X178" s="9">
        <f t="shared" si="319"/>
        <v>9.4385895285146475</v>
      </c>
      <c r="Y178" s="115">
        <f t="shared" si="320"/>
        <v>0.33922661874571203</v>
      </c>
      <c r="Z178" s="116">
        <f t="shared" si="321"/>
        <v>18.385257442615636</v>
      </c>
      <c r="AA178" s="97">
        <f t="shared" ref="AA178:AA193" si="336">IF(Y178&lt;70%,MIN(Z178,(U178+V178/2)*$C178),Z178/T$176)</f>
        <v>1.0325738764841683</v>
      </c>
      <c r="AB178" s="9"/>
      <c r="AC178" s="9">
        <f>GFA!AB179</f>
        <v>30.915385523478093</v>
      </c>
      <c r="AD178" s="9">
        <f>GFA!AD179</f>
        <v>0</v>
      </c>
      <c r="AE178" s="97">
        <f t="shared" si="322"/>
        <v>27.823846971130283</v>
      </c>
      <c r="AF178" s="9">
        <f t="shared" si="323"/>
        <v>10.471163404998816</v>
      </c>
      <c r="AG178" s="115">
        <f t="shared" si="324"/>
        <v>0.37633772985682312</v>
      </c>
      <c r="AH178" s="116">
        <f t="shared" si="325"/>
        <v>17.352683566131468</v>
      </c>
      <c r="AI178" s="97">
        <f t="shared" ref="AI178:AI193" si="337">IF(AG178&lt;70%,MIN(AH178,(AC178+AD178/2)*$C178),AH178/AB$176)</f>
        <v>1.0325738764841683</v>
      </c>
      <c r="AJ178" s="9"/>
      <c r="AK178" s="9">
        <f>GFA!AJ179</f>
        <v>30.915385523478093</v>
      </c>
      <c r="AL178" s="9">
        <f>GFA!AL179</f>
        <v>0</v>
      </c>
      <c r="AM178" s="97">
        <f t="shared" si="326"/>
        <v>27.823846971130283</v>
      </c>
      <c r="AN178" s="9">
        <f t="shared" si="327"/>
        <v>11.503737281482984</v>
      </c>
      <c r="AO178" s="115">
        <f t="shared" si="328"/>
        <v>0.41344884096793427</v>
      </c>
      <c r="AP178" s="116">
        <f t="shared" si="329"/>
        <v>16.3201096896473</v>
      </c>
      <c r="AQ178" s="97">
        <f t="shared" ref="AQ178:AQ193" si="338">IF(AO178&lt;70%,MIN(AP178,(AK178+AL178/2)*$C178),AP178/AJ$176)</f>
        <v>1.0325738764841683</v>
      </c>
      <c r="AR178" s="9"/>
      <c r="AS178" s="9">
        <f>GFA!AR179</f>
        <v>30.915385523478093</v>
      </c>
      <c r="AT178" s="9">
        <f>GFA!AT179</f>
        <v>0</v>
      </c>
      <c r="AU178" s="97">
        <f t="shared" si="330"/>
        <v>27.823846971130283</v>
      </c>
      <c r="AV178" s="9">
        <f t="shared" si="331"/>
        <v>12.536311157967152</v>
      </c>
      <c r="AW178" s="115">
        <f t="shared" si="332"/>
        <v>0.45055995207904537</v>
      </c>
      <c r="AX178" s="116">
        <f t="shared" si="333"/>
        <v>15.287535813163132</v>
      </c>
      <c r="AY178" s="97">
        <f t="shared" ref="AY178:AY193" si="339">IF(AW178&lt;70%,MIN(AX178,(AS178+AT178/2)*$C178),AX178/AR$176)</f>
        <v>1.0325738764841683</v>
      </c>
    </row>
    <row r="179" spans="2:51" ht="31" x14ac:dyDescent="0.35">
      <c r="B179" s="84" t="s">
        <v>135</v>
      </c>
      <c r="C179" s="117">
        <v>5.28E-2</v>
      </c>
      <c r="D179" s="9"/>
      <c r="E179" s="9">
        <f>GFA!D180</f>
        <v>263.05842400369079</v>
      </c>
      <c r="F179" s="9">
        <f>GFA!F180</f>
        <v>0</v>
      </c>
      <c r="G179" s="97">
        <f t="shared" si="311"/>
        <v>236.75258160332172</v>
      </c>
      <c r="H179" s="9">
        <v>93.452373761044996</v>
      </c>
      <c r="I179" s="115">
        <f t="shared" si="312"/>
        <v>0.39472589117369872</v>
      </c>
      <c r="J179" s="116">
        <f t="shared" si="313"/>
        <v>143.30020784227673</v>
      </c>
      <c r="K179" s="97">
        <f t="shared" si="334"/>
        <v>13.889484787394874</v>
      </c>
      <c r="L179" s="9"/>
      <c r="M179" s="9">
        <f>GFA!L180</f>
        <v>263.05842400369079</v>
      </c>
      <c r="N179" s="9">
        <f>GFA!N180</f>
        <v>0</v>
      </c>
      <c r="O179" s="97">
        <f t="shared" si="314"/>
        <v>236.75258160332172</v>
      </c>
      <c r="P179" s="9">
        <f t="shared" si="315"/>
        <v>107.34185854843987</v>
      </c>
      <c r="Q179" s="115">
        <f t="shared" si="316"/>
        <v>0.45339255784036542</v>
      </c>
      <c r="R179" s="116">
        <f t="shared" si="317"/>
        <v>129.41072305488183</v>
      </c>
      <c r="S179" s="97">
        <f t="shared" si="335"/>
        <v>13.889484787394874</v>
      </c>
      <c r="T179" s="9"/>
      <c r="U179" s="9">
        <f>GFA!T180</f>
        <v>257.99577400369077</v>
      </c>
      <c r="V179" s="9">
        <f>GFA!V180</f>
        <v>0</v>
      </c>
      <c r="W179" s="97">
        <f t="shared" si="318"/>
        <v>232.19619660332171</v>
      </c>
      <c r="X179" s="9">
        <f t="shared" si="319"/>
        <v>121.23134333583475</v>
      </c>
      <c r="Y179" s="115">
        <f t="shared" si="320"/>
        <v>0.52210736053934337</v>
      </c>
      <c r="Z179" s="116">
        <f t="shared" si="321"/>
        <v>110.96485326748696</v>
      </c>
      <c r="AA179" s="97">
        <f t="shared" si="336"/>
        <v>13.622176867394872</v>
      </c>
      <c r="AB179" s="9"/>
      <c r="AC179" s="9">
        <f>GFA!AB180</f>
        <v>257.99577400369077</v>
      </c>
      <c r="AD179" s="9">
        <f>GFA!AD180</f>
        <v>0</v>
      </c>
      <c r="AE179" s="97">
        <f t="shared" si="322"/>
        <v>232.19619660332171</v>
      </c>
      <c r="AF179" s="9">
        <f t="shared" si="323"/>
        <v>134.85352020322964</v>
      </c>
      <c r="AG179" s="115">
        <f t="shared" si="324"/>
        <v>0.58077402720601012</v>
      </c>
      <c r="AH179" s="116">
        <f t="shared" si="325"/>
        <v>97.342676400092074</v>
      </c>
      <c r="AI179" s="97">
        <f t="shared" si="337"/>
        <v>13.622176867394872</v>
      </c>
      <c r="AJ179" s="9"/>
      <c r="AK179" s="9">
        <f>GFA!AJ180</f>
        <v>257.99577400369077</v>
      </c>
      <c r="AL179" s="9">
        <f>GFA!AL180</f>
        <v>0</v>
      </c>
      <c r="AM179" s="97">
        <f t="shared" si="326"/>
        <v>232.19619660332171</v>
      </c>
      <c r="AN179" s="9">
        <f t="shared" si="327"/>
        <v>148.47569707062451</v>
      </c>
      <c r="AO179" s="115">
        <f t="shared" si="328"/>
        <v>0.63944069387267677</v>
      </c>
      <c r="AP179" s="116">
        <f t="shared" si="329"/>
        <v>83.720499532697204</v>
      </c>
      <c r="AQ179" s="97">
        <f t="shared" si="338"/>
        <v>13.622176867394872</v>
      </c>
      <c r="AR179" s="9"/>
      <c r="AS179" s="9">
        <f>GFA!AR180</f>
        <v>257.99577400369077</v>
      </c>
      <c r="AT179" s="9">
        <f>GFA!AT180</f>
        <v>0</v>
      </c>
      <c r="AU179" s="97">
        <f t="shared" si="330"/>
        <v>232.19619660332171</v>
      </c>
      <c r="AV179" s="9">
        <f t="shared" si="331"/>
        <v>162.09787393801938</v>
      </c>
      <c r="AW179" s="115">
        <f t="shared" si="332"/>
        <v>0.69810736053934341</v>
      </c>
      <c r="AX179" s="116">
        <f t="shared" si="333"/>
        <v>70.098322665302334</v>
      </c>
      <c r="AY179" s="97">
        <f t="shared" si="339"/>
        <v>13.622176867394872</v>
      </c>
    </row>
    <row r="180" spans="2:51" x14ac:dyDescent="0.35">
      <c r="B180" s="7" t="s">
        <v>136</v>
      </c>
      <c r="C180" s="14">
        <v>5.28E-2</v>
      </c>
      <c r="D180" s="9"/>
      <c r="E180" s="9">
        <f>GFA!D181</f>
        <v>4.097600464938445</v>
      </c>
      <c r="F180" s="9">
        <f>GFA!F181</f>
        <v>0</v>
      </c>
      <c r="G180" s="97">
        <f t="shared" si="311"/>
        <v>3.6878404184446008</v>
      </c>
      <c r="H180" s="9">
        <v>1.3622458350825521</v>
      </c>
      <c r="I180" s="115">
        <f t="shared" si="312"/>
        <v>0.36938849855577505</v>
      </c>
      <c r="J180" s="116">
        <f t="shared" si="313"/>
        <v>2.3255945833620486</v>
      </c>
      <c r="K180" s="97">
        <f t="shared" si="334"/>
        <v>0.2163533045487499</v>
      </c>
      <c r="L180" s="9"/>
      <c r="M180" s="9">
        <f>GFA!L181</f>
        <v>4.097600464938445</v>
      </c>
      <c r="N180" s="9">
        <f>GFA!N181</f>
        <v>0</v>
      </c>
      <c r="O180" s="97">
        <f t="shared" si="314"/>
        <v>3.6878404184446008</v>
      </c>
      <c r="P180" s="9">
        <f t="shared" si="315"/>
        <v>1.5785991396313022</v>
      </c>
      <c r="Q180" s="115">
        <f t="shared" si="316"/>
        <v>0.42805516522244169</v>
      </c>
      <c r="R180" s="116">
        <f t="shared" si="317"/>
        <v>2.1092412788132986</v>
      </c>
      <c r="S180" s="97">
        <f t="shared" si="335"/>
        <v>0.2163533045487499</v>
      </c>
      <c r="T180" s="9"/>
      <c r="U180" s="9">
        <f>GFA!T181</f>
        <v>4.097600464938445</v>
      </c>
      <c r="V180" s="9">
        <f>GFA!V181</f>
        <v>12.703620058336464</v>
      </c>
      <c r="W180" s="97">
        <f t="shared" si="318"/>
        <v>15.121098470947416</v>
      </c>
      <c r="X180" s="9">
        <f t="shared" si="319"/>
        <v>1.7949524441800522</v>
      </c>
      <c r="Y180" s="115">
        <f t="shared" si="320"/>
        <v>0.11870516203758238</v>
      </c>
      <c r="Z180" s="116">
        <f t="shared" si="321"/>
        <v>13.326146026767365</v>
      </c>
      <c r="AA180" s="97">
        <f t="shared" si="336"/>
        <v>0.55172887408883253</v>
      </c>
      <c r="AB180" s="9"/>
      <c r="AC180" s="9">
        <f>GFA!AB181</f>
        <v>16.801220523274907</v>
      </c>
      <c r="AD180" s="9">
        <f>GFA!AD181</f>
        <v>0</v>
      </c>
      <c r="AE180" s="97">
        <f t="shared" si="322"/>
        <v>15.121098470947416</v>
      </c>
      <c r="AF180" s="9">
        <f t="shared" si="323"/>
        <v>2.3466813182688848</v>
      </c>
      <c r="AG180" s="115">
        <f t="shared" si="324"/>
        <v>0.15519251612425039</v>
      </c>
      <c r="AH180" s="116">
        <f t="shared" si="325"/>
        <v>12.774417152678531</v>
      </c>
      <c r="AI180" s="97">
        <f t="shared" si="337"/>
        <v>0.88710444362891505</v>
      </c>
      <c r="AJ180" s="9"/>
      <c r="AK180" s="9">
        <f>GFA!AJ181</f>
        <v>16.801220523274907</v>
      </c>
      <c r="AL180" s="9">
        <f>GFA!AL181</f>
        <v>0</v>
      </c>
      <c r="AM180" s="97">
        <f t="shared" si="326"/>
        <v>15.121098470947416</v>
      </c>
      <c r="AN180" s="9">
        <f t="shared" si="327"/>
        <v>3.2337857618978001</v>
      </c>
      <c r="AO180" s="115">
        <f t="shared" si="328"/>
        <v>0.21385918279091706</v>
      </c>
      <c r="AP180" s="116">
        <f t="shared" si="329"/>
        <v>11.887312709049617</v>
      </c>
      <c r="AQ180" s="97">
        <f t="shared" si="338"/>
        <v>0.88710444362891505</v>
      </c>
      <c r="AR180" s="9"/>
      <c r="AS180" s="9">
        <f>GFA!AR181</f>
        <v>16.801220523274907</v>
      </c>
      <c r="AT180" s="9">
        <f>GFA!AT181</f>
        <v>0</v>
      </c>
      <c r="AU180" s="97">
        <f t="shared" si="330"/>
        <v>15.121098470947416</v>
      </c>
      <c r="AV180" s="9">
        <f t="shared" si="331"/>
        <v>4.1208902055267149</v>
      </c>
      <c r="AW180" s="115">
        <f t="shared" si="332"/>
        <v>0.27252584945758374</v>
      </c>
      <c r="AX180" s="116">
        <f t="shared" si="333"/>
        <v>11.000208265420701</v>
      </c>
      <c r="AY180" s="97">
        <f t="shared" si="339"/>
        <v>0.88710444362891505</v>
      </c>
    </row>
    <row r="181" spans="2:51" x14ac:dyDescent="0.35">
      <c r="B181" s="7" t="s">
        <v>137</v>
      </c>
      <c r="C181" s="14">
        <v>3.3399999999999999E-2</v>
      </c>
      <c r="D181" s="9"/>
      <c r="E181" s="9">
        <f>GFA!D182</f>
        <v>471.18222866557454</v>
      </c>
      <c r="F181" s="9">
        <f>GFA!F182</f>
        <v>2.6724802674816703</v>
      </c>
      <c r="G181" s="97">
        <f t="shared" si="311"/>
        <v>426.46923803975056</v>
      </c>
      <c r="H181" s="9">
        <v>79.444052033976078</v>
      </c>
      <c r="I181" s="115">
        <f t="shared" si="312"/>
        <v>0.18628319453740111</v>
      </c>
      <c r="J181" s="116">
        <f t="shared" si="313"/>
        <v>347.02518600577446</v>
      </c>
      <c r="K181" s="97">
        <f t="shared" si="334"/>
        <v>15.782116857897133</v>
      </c>
      <c r="L181" s="9"/>
      <c r="M181" s="9">
        <f>GFA!L182</f>
        <v>473.8547089330562</v>
      </c>
      <c r="N181" s="9">
        <f>GFA!N182</f>
        <v>4.4319290999999996</v>
      </c>
      <c r="O181" s="97">
        <f t="shared" si="314"/>
        <v>430.45797422975056</v>
      </c>
      <c r="P181" s="9">
        <f t="shared" si="315"/>
        <v>95.226168891873215</v>
      </c>
      <c r="Q181" s="115">
        <f t="shared" si="316"/>
        <v>0.22122059432693345</v>
      </c>
      <c r="R181" s="116">
        <f t="shared" si="317"/>
        <v>335.23180533787735</v>
      </c>
      <c r="S181" s="97">
        <f t="shared" si="335"/>
        <v>15.900760494334078</v>
      </c>
      <c r="T181" s="9"/>
      <c r="U181" s="9">
        <f>GFA!T182</f>
        <v>478.28663803305619</v>
      </c>
      <c r="V181" s="9">
        <f>GFA!V182</f>
        <v>61.50411210598957</v>
      </c>
      <c r="W181" s="97">
        <f t="shared" si="318"/>
        <v>485.81167512514116</v>
      </c>
      <c r="X181" s="9">
        <f t="shared" si="319"/>
        <v>111.12692938620729</v>
      </c>
      <c r="Y181" s="115">
        <f t="shared" si="320"/>
        <v>0.2287448718839083</v>
      </c>
      <c r="Z181" s="116">
        <f t="shared" si="321"/>
        <v>374.68474573893388</v>
      </c>
      <c r="AA181" s="97">
        <f t="shared" si="336"/>
        <v>17.0018923824741</v>
      </c>
      <c r="AB181" s="9"/>
      <c r="AC181" s="9">
        <f>GFA!AB182</f>
        <v>539.79075013904571</v>
      </c>
      <c r="AD181" s="9">
        <f>GFA!AD182</f>
        <v>0</v>
      </c>
      <c r="AE181" s="97">
        <f t="shared" si="322"/>
        <v>485.81167512514116</v>
      </c>
      <c r="AF181" s="9">
        <f t="shared" si="323"/>
        <v>128.12882176868141</v>
      </c>
      <c r="AG181" s="115">
        <f t="shared" si="324"/>
        <v>0.26374175082489826</v>
      </c>
      <c r="AH181" s="116">
        <f t="shared" si="325"/>
        <v>357.68285335645976</v>
      </c>
      <c r="AI181" s="97">
        <f t="shared" si="337"/>
        <v>18.029011054644126</v>
      </c>
      <c r="AJ181" s="9"/>
      <c r="AK181" s="9">
        <f>GFA!AJ182</f>
        <v>539.79075013904571</v>
      </c>
      <c r="AL181" s="9">
        <f>GFA!AL182</f>
        <v>0</v>
      </c>
      <c r="AM181" s="97">
        <f t="shared" si="326"/>
        <v>485.81167512514116</v>
      </c>
      <c r="AN181" s="9">
        <f t="shared" si="327"/>
        <v>146.15783282332552</v>
      </c>
      <c r="AO181" s="115">
        <f t="shared" si="328"/>
        <v>0.30085286193600935</v>
      </c>
      <c r="AP181" s="116">
        <f t="shared" si="329"/>
        <v>339.65384230181564</v>
      </c>
      <c r="AQ181" s="97">
        <f t="shared" si="338"/>
        <v>18.029011054644126</v>
      </c>
      <c r="AR181" s="9"/>
      <c r="AS181" s="9">
        <f>GFA!AR182</f>
        <v>539.79075013904571</v>
      </c>
      <c r="AT181" s="9">
        <f>GFA!AT182</f>
        <v>0</v>
      </c>
      <c r="AU181" s="97">
        <f t="shared" si="330"/>
        <v>485.81167512514116</v>
      </c>
      <c r="AV181" s="9">
        <f t="shared" si="331"/>
        <v>164.18684387796964</v>
      </c>
      <c r="AW181" s="115">
        <f t="shared" si="332"/>
        <v>0.33796397304712045</v>
      </c>
      <c r="AX181" s="116">
        <f t="shared" si="333"/>
        <v>321.62483124717153</v>
      </c>
      <c r="AY181" s="97">
        <f t="shared" si="339"/>
        <v>18.029011054644126</v>
      </c>
    </row>
    <row r="182" spans="2:51" x14ac:dyDescent="0.35">
      <c r="B182" s="7" t="s">
        <v>138</v>
      </c>
      <c r="C182" s="14">
        <v>5.28E-2</v>
      </c>
      <c r="D182" s="9"/>
      <c r="E182" s="9">
        <f>GFA!D183</f>
        <v>2638.0239915027564</v>
      </c>
      <c r="F182" s="9">
        <f>GFA!F183</f>
        <v>2.877519732518329</v>
      </c>
      <c r="G182" s="97">
        <f t="shared" si="311"/>
        <v>2376.8113601117475</v>
      </c>
      <c r="H182" s="9">
        <v>905.59539748468876</v>
      </c>
      <c r="I182" s="115">
        <f t="shared" si="312"/>
        <v>0.38101273524799695</v>
      </c>
      <c r="J182" s="116">
        <f t="shared" si="313"/>
        <v>1471.2159626270586</v>
      </c>
      <c r="K182" s="97">
        <f t="shared" si="334"/>
        <v>139.36363327228403</v>
      </c>
      <c r="L182" s="9"/>
      <c r="M182" s="9">
        <f>GFA!L183</f>
        <v>2640.9015112352749</v>
      </c>
      <c r="N182" s="9">
        <f>GFA!N183</f>
        <v>12.408401337999999</v>
      </c>
      <c r="O182" s="97">
        <f t="shared" si="314"/>
        <v>2387.9789213159479</v>
      </c>
      <c r="P182" s="9">
        <f t="shared" si="315"/>
        <v>1044.9590307569729</v>
      </c>
      <c r="Q182" s="115">
        <f t="shared" si="316"/>
        <v>0.43759139640191019</v>
      </c>
      <c r="R182" s="116">
        <f t="shared" si="317"/>
        <v>1343.019890558975</v>
      </c>
      <c r="S182" s="97">
        <f t="shared" si="335"/>
        <v>139.7671815885457</v>
      </c>
      <c r="T182" s="9"/>
      <c r="U182" s="9">
        <f>GFA!T183</f>
        <v>2653.3099125732751</v>
      </c>
      <c r="V182" s="9">
        <f>GFA!V183</f>
        <v>1.3035851760345263</v>
      </c>
      <c r="W182" s="97">
        <f t="shared" si="318"/>
        <v>2389.1521479743787</v>
      </c>
      <c r="X182" s="9">
        <f t="shared" si="319"/>
        <v>1184.7262123455187</v>
      </c>
      <c r="Y182" s="115">
        <f t="shared" si="320"/>
        <v>0.4958772564359194</v>
      </c>
      <c r="Z182" s="116">
        <f t="shared" si="321"/>
        <v>1204.4259356288601</v>
      </c>
      <c r="AA182" s="97">
        <f t="shared" si="336"/>
        <v>140.12917803251622</v>
      </c>
      <c r="AB182" s="9"/>
      <c r="AC182" s="9">
        <f>GFA!AB183</f>
        <v>2649.6981200493096</v>
      </c>
      <c r="AD182" s="9">
        <f>GFA!AD183</f>
        <v>22.099999999999998</v>
      </c>
      <c r="AE182" s="97">
        <f t="shared" si="322"/>
        <v>2404.6183080443789</v>
      </c>
      <c r="AF182" s="9">
        <f t="shared" si="323"/>
        <v>1324.8553903780348</v>
      </c>
      <c r="AG182" s="115">
        <f t="shared" si="324"/>
        <v>0.55096286422917129</v>
      </c>
      <c r="AH182" s="116">
        <f t="shared" si="325"/>
        <v>1079.762917666344</v>
      </c>
      <c r="AI182" s="97">
        <f t="shared" si="337"/>
        <v>140.48750073860356</v>
      </c>
      <c r="AJ182" s="9"/>
      <c r="AK182" s="9">
        <f>GFA!AJ183</f>
        <v>2671.7981200493095</v>
      </c>
      <c r="AL182" s="9">
        <f>GFA!AL183</f>
        <v>269.40760869565219</v>
      </c>
      <c r="AM182" s="97">
        <f t="shared" si="326"/>
        <v>2647.0851558704653</v>
      </c>
      <c r="AN182" s="9">
        <f t="shared" si="327"/>
        <v>1465.3428911166384</v>
      </c>
      <c r="AO182" s="115">
        <f t="shared" si="328"/>
        <v>0.55356847431482659</v>
      </c>
      <c r="AP182" s="116">
        <f t="shared" si="329"/>
        <v>1181.7422647538269</v>
      </c>
      <c r="AQ182" s="97">
        <f t="shared" si="338"/>
        <v>148.18330160816876</v>
      </c>
      <c r="AR182" s="9"/>
      <c r="AS182" s="9">
        <f>GFA!AR183</f>
        <v>2941.2057287449616</v>
      </c>
      <c r="AT182" s="9">
        <f>GFA!AT183</f>
        <v>282.00999999999993</v>
      </c>
      <c r="AU182" s="97">
        <f t="shared" si="330"/>
        <v>2900.8941558704651</v>
      </c>
      <c r="AV182" s="9">
        <f t="shared" si="331"/>
        <v>1613.5261927248071</v>
      </c>
      <c r="AW182" s="115">
        <f t="shared" si="332"/>
        <v>0.55621684419597162</v>
      </c>
      <c r="AX182" s="116">
        <f t="shared" si="333"/>
        <v>1287.367963145658</v>
      </c>
      <c r="AY182" s="97">
        <f t="shared" si="339"/>
        <v>162.74072647773397</v>
      </c>
    </row>
    <row r="183" spans="2:51" x14ac:dyDescent="0.35">
      <c r="B183" s="7" t="s">
        <v>139</v>
      </c>
      <c r="C183" s="14">
        <v>0.18</v>
      </c>
      <c r="D183" s="9"/>
      <c r="E183" s="9">
        <f>GFA!D184</f>
        <v>12.547245837466889</v>
      </c>
      <c r="F183" s="9">
        <f>GFA!F184</f>
        <v>0</v>
      </c>
      <c r="G183" s="97">
        <f t="shared" si="311"/>
        <v>11.292521253720201</v>
      </c>
      <c r="H183" s="9">
        <v>6.1821289778521153</v>
      </c>
      <c r="I183" s="115">
        <f t="shared" si="312"/>
        <v>0.54745338431977519</v>
      </c>
      <c r="J183" s="116">
        <f t="shared" si="313"/>
        <v>5.1103922758680858</v>
      </c>
      <c r="K183" s="97">
        <f t="shared" si="334"/>
        <v>2.25850425074404</v>
      </c>
      <c r="L183" s="9"/>
      <c r="M183" s="9">
        <f>GFA!L184</f>
        <v>12.547245837466889</v>
      </c>
      <c r="N183" s="9">
        <f>GFA!N184</f>
        <v>6.2927861760000008</v>
      </c>
      <c r="O183" s="97">
        <f t="shared" si="314"/>
        <v>16.956028812120202</v>
      </c>
      <c r="P183" s="9">
        <f t="shared" si="315"/>
        <v>8.4406332285961554</v>
      </c>
      <c r="Q183" s="115">
        <f t="shared" si="316"/>
        <v>0.49779540493365843</v>
      </c>
      <c r="R183" s="116">
        <f t="shared" si="317"/>
        <v>8.5153955835240467</v>
      </c>
      <c r="S183" s="97">
        <f t="shared" si="335"/>
        <v>2.8248550065840399</v>
      </c>
      <c r="T183" s="9"/>
      <c r="U183" s="9">
        <f>GFA!T184</f>
        <v>18.840032013466889</v>
      </c>
      <c r="V183" s="9">
        <f>GFA!V184</f>
        <v>0</v>
      </c>
      <c r="W183" s="97">
        <f t="shared" si="318"/>
        <v>16.956028812120202</v>
      </c>
      <c r="X183" s="9">
        <f t="shared" si="319"/>
        <v>11.265488235180195</v>
      </c>
      <c r="Y183" s="115">
        <f t="shared" si="320"/>
        <v>0.66439426118028311</v>
      </c>
      <c r="Z183" s="116">
        <f t="shared" si="321"/>
        <v>5.6905405769400073</v>
      </c>
      <c r="AA183" s="97">
        <f t="shared" si="336"/>
        <v>3.3912057624240397</v>
      </c>
      <c r="AB183" s="9"/>
      <c r="AC183" s="9">
        <f>GFA!AB184</f>
        <v>18.840032013466889</v>
      </c>
      <c r="AD183" s="9">
        <f>GFA!AD184</f>
        <v>0</v>
      </c>
      <c r="AE183" s="97">
        <f t="shared" si="322"/>
        <v>16.956028812120202</v>
      </c>
      <c r="AF183" s="9">
        <f t="shared" si="323"/>
        <v>14.656693997604235</v>
      </c>
      <c r="AG183" s="115">
        <f t="shared" si="324"/>
        <v>0.86439426118028306</v>
      </c>
      <c r="AH183" s="116">
        <f t="shared" si="325"/>
        <v>2.2993348145159676</v>
      </c>
      <c r="AI183" s="97">
        <f t="shared" si="337"/>
        <v>0.15277972189474867</v>
      </c>
      <c r="AJ183" s="9"/>
      <c r="AK183" s="9">
        <f>GFA!AJ184</f>
        <v>18.840032013466889</v>
      </c>
      <c r="AL183" s="9">
        <f>GFA!AL184</f>
        <v>0</v>
      </c>
      <c r="AM183" s="97">
        <f t="shared" si="326"/>
        <v>16.956028812120202</v>
      </c>
      <c r="AN183" s="9">
        <f t="shared" si="327"/>
        <v>14.809473719498984</v>
      </c>
      <c r="AO183" s="115">
        <f t="shared" si="328"/>
        <v>0.87340460927461638</v>
      </c>
      <c r="AP183" s="116">
        <f t="shared" si="329"/>
        <v>2.1465550926212185</v>
      </c>
      <c r="AQ183" s="97">
        <f t="shared" si="338"/>
        <v>0.15277972189474864</v>
      </c>
      <c r="AR183" s="9"/>
      <c r="AS183" s="9">
        <f>GFA!AR184</f>
        <v>18.840032013466889</v>
      </c>
      <c r="AT183" s="9">
        <f>GFA!AT184</f>
        <v>0</v>
      </c>
      <c r="AU183" s="97">
        <f t="shared" si="330"/>
        <v>16.956028812120202</v>
      </c>
      <c r="AV183" s="9">
        <f t="shared" si="331"/>
        <v>14.962253441393733</v>
      </c>
      <c r="AW183" s="115">
        <f t="shared" si="332"/>
        <v>0.88241495736894981</v>
      </c>
      <c r="AX183" s="116">
        <f t="shared" si="333"/>
        <v>1.9937753707264694</v>
      </c>
      <c r="AY183" s="97">
        <f t="shared" si="339"/>
        <v>0.15277972189474862</v>
      </c>
    </row>
    <row r="184" spans="2:51" x14ac:dyDescent="0.35">
      <c r="B184" s="7" t="s">
        <v>140</v>
      </c>
      <c r="C184" s="14">
        <v>5.28E-2</v>
      </c>
      <c r="D184" s="9"/>
      <c r="E184" s="9">
        <f>GFA!D185</f>
        <v>29.827529562641065</v>
      </c>
      <c r="F184" s="9">
        <f>GFA!F185</f>
        <v>0</v>
      </c>
      <c r="G184" s="97">
        <f t="shared" si="311"/>
        <v>26.844776606376957</v>
      </c>
      <c r="H184" s="9">
        <v>11.279650941837401</v>
      </c>
      <c r="I184" s="115">
        <f t="shared" si="312"/>
        <v>0.42018047336471143</v>
      </c>
      <c r="J184" s="116">
        <f t="shared" si="313"/>
        <v>15.565125664539556</v>
      </c>
      <c r="K184" s="97">
        <f t="shared" si="334"/>
        <v>1.5748935609074481</v>
      </c>
      <c r="L184" s="9"/>
      <c r="M184" s="9">
        <f>GFA!L185</f>
        <v>29.827529562641065</v>
      </c>
      <c r="N184" s="9">
        <f>GFA!N185</f>
        <v>0</v>
      </c>
      <c r="O184" s="97">
        <f t="shared" si="314"/>
        <v>26.844776606376957</v>
      </c>
      <c r="P184" s="9">
        <f t="shared" si="315"/>
        <v>12.854544502744849</v>
      </c>
      <c r="Q184" s="115">
        <f t="shared" si="316"/>
        <v>0.47884714003137807</v>
      </c>
      <c r="R184" s="116">
        <f t="shared" si="317"/>
        <v>13.990232103632108</v>
      </c>
      <c r="S184" s="97">
        <f t="shared" si="335"/>
        <v>1.5748935609074481</v>
      </c>
      <c r="T184" s="9"/>
      <c r="U184" s="9">
        <f>GFA!T185</f>
        <v>29.827529562641065</v>
      </c>
      <c r="V184" s="9">
        <f>GFA!V185</f>
        <v>0</v>
      </c>
      <c r="W184" s="97">
        <f t="shared" si="318"/>
        <v>26.844776606376957</v>
      </c>
      <c r="X184" s="9">
        <f t="shared" si="319"/>
        <v>14.429438063652297</v>
      </c>
      <c r="Y184" s="115">
        <f t="shared" si="320"/>
        <v>0.53751380669804472</v>
      </c>
      <c r="Z184" s="116">
        <f t="shared" si="321"/>
        <v>12.41533854272466</v>
      </c>
      <c r="AA184" s="97">
        <f t="shared" si="336"/>
        <v>1.5748935609074481</v>
      </c>
      <c r="AB184" s="9"/>
      <c r="AC184" s="9">
        <f>GFA!AB185</f>
        <v>29.827529562641065</v>
      </c>
      <c r="AD184" s="9">
        <f>GFA!AD185</f>
        <v>0</v>
      </c>
      <c r="AE184" s="97">
        <f t="shared" si="322"/>
        <v>26.844776606376957</v>
      </c>
      <c r="AF184" s="9">
        <f t="shared" si="323"/>
        <v>16.004331624559747</v>
      </c>
      <c r="AG184" s="115">
        <f t="shared" si="324"/>
        <v>0.59618047336471147</v>
      </c>
      <c r="AH184" s="116">
        <f t="shared" si="325"/>
        <v>10.84044498181721</v>
      </c>
      <c r="AI184" s="97">
        <f t="shared" si="337"/>
        <v>1.5748935609074481</v>
      </c>
      <c r="AJ184" s="9"/>
      <c r="AK184" s="9">
        <f>GFA!AJ185</f>
        <v>29.827529562641065</v>
      </c>
      <c r="AL184" s="9">
        <f>GFA!AL185</f>
        <v>0</v>
      </c>
      <c r="AM184" s="97">
        <f t="shared" si="326"/>
        <v>26.844776606376957</v>
      </c>
      <c r="AN184" s="9">
        <f t="shared" si="327"/>
        <v>17.579225185467195</v>
      </c>
      <c r="AO184" s="115">
        <f t="shared" si="328"/>
        <v>0.65484714003137812</v>
      </c>
      <c r="AP184" s="116">
        <f t="shared" si="329"/>
        <v>9.2655514209097625</v>
      </c>
      <c r="AQ184" s="97">
        <f t="shared" si="338"/>
        <v>1.5748935609074481</v>
      </c>
      <c r="AR184" s="9"/>
      <c r="AS184" s="9">
        <f>GFA!AR185</f>
        <v>29.827529562641065</v>
      </c>
      <c r="AT184" s="9">
        <f>GFA!AT185</f>
        <v>0</v>
      </c>
      <c r="AU184" s="97">
        <f t="shared" si="330"/>
        <v>26.844776606376957</v>
      </c>
      <c r="AV184" s="9">
        <f t="shared" si="331"/>
        <v>19.154118746374643</v>
      </c>
      <c r="AW184" s="115">
        <f t="shared" si="332"/>
        <v>0.71351380669804476</v>
      </c>
      <c r="AX184" s="116">
        <f t="shared" si="333"/>
        <v>7.6906578600023145</v>
      </c>
      <c r="AY184" s="97">
        <f t="shared" si="339"/>
        <v>0.58932244137948764</v>
      </c>
    </row>
    <row r="185" spans="2:51" x14ac:dyDescent="0.35">
      <c r="B185" s="7" t="s">
        <v>141</v>
      </c>
      <c r="C185" s="14">
        <v>5.28E-2</v>
      </c>
      <c r="D185" s="9"/>
      <c r="E185" s="9">
        <f>GFA!D186</f>
        <v>76.060150116400024</v>
      </c>
      <c r="F185" s="9">
        <f>GFA!F186</f>
        <v>0</v>
      </c>
      <c r="G185" s="97">
        <f t="shared" si="311"/>
        <v>68.454135104760027</v>
      </c>
      <c r="H185" s="9">
        <v>27.079037638494484</v>
      </c>
      <c r="I185" s="115">
        <f t="shared" si="312"/>
        <v>0.39557928234800699</v>
      </c>
      <c r="J185" s="116">
        <f t="shared" si="313"/>
        <v>41.375097466265544</v>
      </c>
      <c r="K185" s="97">
        <f t="shared" si="334"/>
        <v>4.0159759261459209</v>
      </c>
      <c r="L185" s="9"/>
      <c r="M185" s="9">
        <f>GFA!L186</f>
        <v>76.060150116400024</v>
      </c>
      <c r="N185" s="9">
        <f>GFA!N186</f>
        <v>0</v>
      </c>
      <c r="O185" s="97">
        <f t="shared" si="314"/>
        <v>68.454135104760027</v>
      </c>
      <c r="P185" s="9">
        <f t="shared" si="315"/>
        <v>31.095013564640404</v>
      </c>
      <c r="Q185" s="115">
        <f t="shared" si="316"/>
        <v>0.45424594901467363</v>
      </c>
      <c r="R185" s="116">
        <f t="shared" si="317"/>
        <v>37.359121540119624</v>
      </c>
      <c r="S185" s="97">
        <f t="shared" si="335"/>
        <v>4.0159759261459209</v>
      </c>
      <c r="T185" s="9"/>
      <c r="U185" s="9">
        <f>GFA!T186</f>
        <v>76.060150116400024</v>
      </c>
      <c r="V185" s="9">
        <f>GFA!V186</f>
        <v>0</v>
      </c>
      <c r="W185" s="97">
        <f t="shared" si="318"/>
        <v>68.454135104760027</v>
      </c>
      <c r="X185" s="9">
        <f t="shared" si="319"/>
        <v>35.110989490786324</v>
      </c>
      <c r="Y185" s="115">
        <f t="shared" si="320"/>
        <v>0.51291261568134028</v>
      </c>
      <c r="Z185" s="116">
        <f t="shared" si="321"/>
        <v>33.343145613973704</v>
      </c>
      <c r="AA185" s="97">
        <f t="shared" si="336"/>
        <v>4.0159759261459209</v>
      </c>
      <c r="AB185" s="9"/>
      <c r="AC185" s="9">
        <f>GFA!AB186</f>
        <v>76.060150116400024</v>
      </c>
      <c r="AD185" s="9">
        <f>GFA!AD186</f>
        <v>0</v>
      </c>
      <c r="AE185" s="97">
        <f t="shared" si="322"/>
        <v>68.454135104760027</v>
      </c>
      <c r="AF185" s="9">
        <f t="shared" si="323"/>
        <v>39.126965416932244</v>
      </c>
      <c r="AG185" s="115">
        <f t="shared" si="324"/>
        <v>0.57157928234800692</v>
      </c>
      <c r="AH185" s="116">
        <f t="shared" si="325"/>
        <v>29.327169687827784</v>
      </c>
      <c r="AI185" s="97">
        <f t="shared" si="337"/>
        <v>4.0159759261459209</v>
      </c>
      <c r="AJ185" s="9"/>
      <c r="AK185" s="9">
        <f>GFA!AJ186</f>
        <v>76.060150116400024</v>
      </c>
      <c r="AL185" s="9">
        <f>GFA!AL186</f>
        <v>0</v>
      </c>
      <c r="AM185" s="97">
        <f t="shared" si="326"/>
        <v>68.454135104760027</v>
      </c>
      <c r="AN185" s="9">
        <f t="shared" si="327"/>
        <v>43.142941343078164</v>
      </c>
      <c r="AO185" s="115">
        <f t="shared" si="328"/>
        <v>0.63024594901467357</v>
      </c>
      <c r="AP185" s="116">
        <f t="shared" si="329"/>
        <v>25.311193761681864</v>
      </c>
      <c r="AQ185" s="97">
        <f t="shared" si="338"/>
        <v>4.0159759261459209</v>
      </c>
      <c r="AR185" s="9"/>
      <c r="AS185" s="9">
        <f>GFA!AR186</f>
        <v>76.060150116400024</v>
      </c>
      <c r="AT185" s="9">
        <f>GFA!AT186</f>
        <v>0</v>
      </c>
      <c r="AU185" s="97">
        <f t="shared" si="330"/>
        <v>68.454135104760027</v>
      </c>
      <c r="AV185" s="9">
        <f t="shared" si="331"/>
        <v>47.158917269224084</v>
      </c>
      <c r="AW185" s="115">
        <f t="shared" si="332"/>
        <v>0.68891261568134021</v>
      </c>
      <c r="AX185" s="116">
        <f t="shared" si="333"/>
        <v>21.295217835535944</v>
      </c>
      <c r="AY185" s="97">
        <f t="shared" si="339"/>
        <v>4.0159759261459209</v>
      </c>
    </row>
    <row r="186" spans="2:51" x14ac:dyDescent="0.35">
      <c r="B186" s="7" t="s">
        <v>142</v>
      </c>
      <c r="C186" s="14">
        <v>9.5000000000000001E-2</v>
      </c>
      <c r="D186" s="9"/>
      <c r="E186" s="9">
        <f>GFA!D187</f>
        <v>5.0025135112005055</v>
      </c>
      <c r="F186" s="9">
        <f>GFA!F187</f>
        <v>0</v>
      </c>
      <c r="G186" s="97">
        <f t="shared" si="311"/>
        <v>4.5022621600804547</v>
      </c>
      <c r="H186" s="9">
        <v>1.1944464102178272</v>
      </c>
      <c r="I186" s="115">
        <f t="shared" si="312"/>
        <v>0.26529916911734935</v>
      </c>
      <c r="J186" s="116">
        <f t="shared" si="313"/>
        <v>3.3078157498626277</v>
      </c>
      <c r="K186" s="97">
        <f t="shared" si="334"/>
        <v>0.47523878356404803</v>
      </c>
      <c r="L186" s="9"/>
      <c r="M186" s="9">
        <f>GFA!L187</f>
        <v>5.0025135112005055</v>
      </c>
      <c r="N186" s="9">
        <f>GFA!N187</f>
        <v>0</v>
      </c>
      <c r="O186" s="97">
        <f t="shared" si="314"/>
        <v>4.5022621600804547</v>
      </c>
      <c r="P186" s="9">
        <f t="shared" si="315"/>
        <v>1.6696851937818753</v>
      </c>
      <c r="Q186" s="115">
        <f t="shared" si="316"/>
        <v>0.37085472467290492</v>
      </c>
      <c r="R186" s="116">
        <f t="shared" si="317"/>
        <v>2.8325769662985794</v>
      </c>
      <c r="S186" s="97">
        <f t="shared" si="335"/>
        <v>0.47523878356404803</v>
      </c>
      <c r="T186" s="9"/>
      <c r="U186" s="9">
        <f>GFA!T187</f>
        <v>5.0025135112005055</v>
      </c>
      <c r="V186" s="9">
        <f>GFA!V187</f>
        <v>0</v>
      </c>
      <c r="W186" s="97">
        <f t="shared" si="318"/>
        <v>4.5022621600804547</v>
      </c>
      <c r="X186" s="9">
        <f t="shared" si="319"/>
        <v>2.1449239773459232</v>
      </c>
      <c r="Y186" s="115">
        <f t="shared" si="320"/>
        <v>0.47641028022846049</v>
      </c>
      <c r="Z186" s="116">
        <f t="shared" si="321"/>
        <v>2.3573381827345314</v>
      </c>
      <c r="AA186" s="97">
        <f t="shared" si="336"/>
        <v>0.47523878356404803</v>
      </c>
      <c r="AB186" s="9"/>
      <c r="AC186" s="9">
        <f>GFA!AB187</f>
        <v>5.0025135112005055</v>
      </c>
      <c r="AD186" s="9">
        <f>GFA!AD187</f>
        <v>0</v>
      </c>
      <c r="AE186" s="97">
        <f t="shared" si="322"/>
        <v>4.5022621600804547</v>
      </c>
      <c r="AF186" s="9">
        <f t="shared" si="323"/>
        <v>2.6201627609099711</v>
      </c>
      <c r="AG186" s="115">
        <f t="shared" si="324"/>
        <v>0.58196583578401606</v>
      </c>
      <c r="AH186" s="116">
        <f t="shared" si="325"/>
        <v>1.8820993991704835</v>
      </c>
      <c r="AI186" s="97">
        <f t="shared" si="337"/>
        <v>0.47523878356404803</v>
      </c>
      <c r="AJ186" s="9"/>
      <c r="AK186" s="9">
        <f>GFA!AJ187</f>
        <v>5.0025135112005055</v>
      </c>
      <c r="AL186" s="9">
        <f>GFA!AL187</f>
        <v>0</v>
      </c>
      <c r="AM186" s="97">
        <f t="shared" si="326"/>
        <v>4.5022621600804547</v>
      </c>
      <c r="AN186" s="9">
        <f t="shared" si="327"/>
        <v>3.0954015444740191</v>
      </c>
      <c r="AO186" s="115">
        <f t="shared" si="328"/>
        <v>0.68752139133957157</v>
      </c>
      <c r="AP186" s="116">
        <f t="shared" si="329"/>
        <v>1.4068606156064356</v>
      </c>
      <c r="AQ186" s="97">
        <f t="shared" si="338"/>
        <v>0.47523878356404803</v>
      </c>
      <c r="AR186" s="9"/>
      <c r="AS186" s="9">
        <f>GFA!AR187</f>
        <v>5.0025135112005055</v>
      </c>
      <c r="AT186" s="9">
        <f>GFA!AT187</f>
        <v>0</v>
      </c>
      <c r="AU186" s="97">
        <f t="shared" si="330"/>
        <v>4.5022621600804547</v>
      </c>
      <c r="AV186" s="9">
        <f t="shared" si="331"/>
        <v>3.570640328038067</v>
      </c>
      <c r="AW186" s="115">
        <f t="shared" si="332"/>
        <v>0.79307694689512709</v>
      </c>
      <c r="AX186" s="116">
        <f t="shared" si="333"/>
        <v>0.93162183204238769</v>
      </c>
      <c r="AY186" s="97">
        <f t="shared" si="339"/>
        <v>7.1388646133516295E-2</v>
      </c>
    </row>
    <row r="187" spans="2:51" x14ac:dyDescent="0.35">
      <c r="B187" s="7" t="s">
        <v>143</v>
      </c>
      <c r="C187" s="14">
        <v>6.3299999999999995E-2</v>
      </c>
      <c r="D187" s="9"/>
      <c r="E187" s="9">
        <f>GFA!D188</f>
        <v>1.0920845374255861</v>
      </c>
      <c r="F187" s="9">
        <f>GFA!F188</f>
        <v>0</v>
      </c>
      <c r="G187" s="97">
        <f t="shared" si="311"/>
        <v>0.98287608368302748</v>
      </c>
      <c r="H187" s="9">
        <v>0.46261808346734246</v>
      </c>
      <c r="I187" s="115">
        <f t="shared" si="312"/>
        <v>0.47067793300435462</v>
      </c>
      <c r="J187" s="116">
        <f t="shared" si="313"/>
        <v>0.52025800021568502</v>
      </c>
      <c r="K187" s="97">
        <f t="shared" si="334"/>
        <v>6.91289512190396E-2</v>
      </c>
      <c r="L187" s="9"/>
      <c r="M187" s="9">
        <f>GFA!L188</f>
        <v>1.0920845374255861</v>
      </c>
      <c r="N187" s="9">
        <f>GFA!N188</f>
        <v>0</v>
      </c>
      <c r="O187" s="97">
        <f t="shared" si="314"/>
        <v>0.98287608368302748</v>
      </c>
      <c r="P187" s="9">
        <f t="shared" si="315"/>
        <v>0.53174703468638207</v>
      </c>
      <c r="Q187" s="115">
        <f t="shared" si="316"/>
        <v>0.54101126633768792</v>
      </c>
      <c r="R187" s="116">
        <f t="shared" si="317"/>
        <v>0.45112904899664541</v>
      </c>
      <c r="S187" s="97">
        <f t="shared" si="335"/>
        <v>6.91289512190396E-2</v>
      </c>
      <c r="T187" s="9"/>
      <c r="U187" s="9">
        <f>GFA!T188</f>
        <v>1.0920845374255861</v>
      </c>
      <c r="V187" s="9">
        <f>GFA!V188</f>
        <v>0</v>
      </c>
      <c r="W187" s="97">
        <f t="shared" si="318"/>
        <v>0.98287608368302748</v>
      </c>
      <c r="X187" s="9">
        <f t="shared" si="319"/>
        <v>0.60087598590542168</v>
      </c>
      <c r="Y187" s="115">
        <f t="shared" si="320"/>
        <v>0.61134459967102128</v>
      </c>
      <c r="Z187" s="116">
        <f t="shared" si="321"/>
        <v>0.3820000977776058</v>
      </c>
      <c r="AA187" s="97">
        <f t="shared" si="336"/>
        <v>6.91289512190396E-2</v>
      </c>
      <c r="AB187" s="9"/>
      <c r="AC187" s="9">
        <f>GFA!AB188</f>
        <v>1.0920845374255861</v>
      </c>
      <c r="AD187" s="9">
        <f>GFA!AD188</f>
        <v>0</v>
      </c>
      <c r="AE187" s="97">
        <f t="shared" si="322"/>
        <v>0.98287608368302748</v>
      </c>
      <c r="AF187" s="9">
        <f t="shared" si="323"/>
        <v>0.6700049371244613</v>
      </c>
      <c r="AG187" s="115">
        <f t="shared" si="324"/>
        <v>0.68167793300435464</v>
      </c>
      <c r="AH187" s="116">
        <f t="shared" si="325"/>
        <v>0.31287114655856618</v>
      </c>
      <c r="AI187" s="97">
        <f t="shared" si="337"/>
        <v>6.91289512190396E-2</v>
      </c>
      <c r="AJ187" s="9"/>
      <c r="AK187" s="9">
        <f>GFA!AJ188</f>
        <v>1.0920845374255861</v>
      </c>
      <c r="AL187" s="9">
        <f>GFA!AL188</f>
        <v>0</v>
      </c>
      <c r="AM187" s="97">
        <f t="shared" si="326"/>
        <v>0.98287608368302748</v>
      </c>
      <c r="AN187" s="9">
        <f t="shared" si="327"/>
        <v>0.73913388834350091</v>
      </c>
      <c r="AO187" s="115">
        <f t="shared" si="328"/>
        <v>0.752011266337688</v>
      </c>
      <c r="AP187" s="116">
        <f t="shared" si="329"/>
        <v>0.24374219533952657</v>
      </c>
      <c r="AQ187" s="97">
        <f t="shared" si="338"/>
        <v>1.7348198956549932E-2</v>
      </c>
      <c r="AR187" s="9"/>
      <c r="AS187" s="9">
        <f>GFA!AR188</f>
        <v>1.0920845374255861</v>
      </c>
      <c r="AT187" s="9">
        <f>GFA!AT188</f>
        <v>0</v>
      </c>
      <c r="AU187" s="97">
        <f t="shared" si="330"/>
        <v>0.98287608368302748</v>
      </c>
      <c r="AV187" s="9">
        <f t="shared" si="331"/>
        <v>0.75648208730005084</v>
      </c>
      <c r="AW187" s="115">
        <f t="shared" si="332"/>
        <v>0.76966171001472095</v>
      </c>
      <c r="AX187" s="116">
        <f t="shared" si="333"/>
        <v>0.22639399638297664</v>
      </c>
      <c r="AY187" s="97">
        <f t="shared" si="339"/>
        <v>1.7348198956549932E-2</v>
      </c>
    </row>
    <row r="188" spans="2:51" x14ac:dyDescent="0.35">
      <c r="B188" s="7" t="s">
        <v>144</v>
      </c>
      <c r="C188" s="14">
        <v>6.3299999999999995E-2</v>
      </c>
      <c r="D188" s="9"/>
      <c r="E188" s="9">
        <f>GFA!D189</f>
        <v>0.71751804388029228</v>
      </c>
      <c r="F188" s="9">
        <f>GFA!F189</f>
        <v>0</v>
      </c>
      <c r="G188" s="97">
        <f t="shared" si="311"/>
        <v>0.64576623949226308</v>
      </c>
      <c r="H188" s="9">
        <v>0.31227210577157766</v>
      </c>
      <c r="I188" s="115">
        <f t="shared" si="312"/>
        <v>0.48356833583790809</v>
      </c>
      <c r="J188" s="116">
        <f t="shared" si="313"/>
        <v>0.33349413372068543</v>
      </c>
      <c r="K188" s="97">
        <f t="shared" si="334"/>
        <v>4.5418892177622495E-2</v>
      </c>
      <c r="L188" s="9"/>
      <c r="M188" s="9">
        <f>GFA!L189</f>
        <v>0.71751804388029228</v>
      </c>
      <c r="N188" s="9">
        <f>GFA!N189</f>
        <v>0</v>
      </c>
      <c r="O188" s="97">
        <f t="shared" si="314"/>
        <v>0.64576623949226308</v>
      </c>
      <c r="P188" s="9">
        <f t="shared" si="315"/>
        <v>0.35769099794920017</v>
      </c>
      <c r="Q188" s="115">
        <f t="shared" si="316"/>
        <v>0.5539016691712414</v>
      </c>
      <c r="R188" s="116">
        <f t="shared" si="317"/>
        <v>0.28807524154306291</v>
      </c>
      <c r="S188" s="97">
        <f t="shared" si="335"/>
        <v>4.5418892177622495E-2</v>
      </c>
      <c r="T188" s="9"/>
      <c r="U188" s="9">
        <f>GFA!T189</f>
        <v>0.71751804388029228</v>
      </c>
      <c r="V188" s="9">
        <f>GFA!V189</f>
        <v>0</v>
      </c>
      <c r="W188" s="97">
        <f t="shared" si="318"/>
        <v>0.64576623949226308</v>
      </c>
      <c r="X188" s="9">
        <f t="shared" si="319"/>
        <v>0.40310989012682269</v>
      </c>
      <c r="Y188" s="115">
        <f t="shared" si="320"/>
        <v>0.62423500250457475</v>
      </c>
      <c r="Z188" s="116">
        <f t="shared" si="321"/>
        <v>0.24265634936544039</v>
      </c>
      <c r="AA188" s="97">
        <f t="shared" si="336"/>
        <v>4.5418892177622495E-2</v>
      </c>
      <c r="AB188" s="9"/>
      <c r="AC188" s="9">
        <f>GFA!AB189</f>
        <v>0.71751804388029228</v>
      </c>
      <c r="AD188" s="9">
        <f>GFA!AD189</f>
        <v>0</v>
      </c>
      <c r="AE188" s="97">
        <f t="shared" si="322"/>
        <v>0.64576623949226308</v>
      </c>
      <c r="AF188" s="9">
        <f t="shared" si="323"/>
        <v>0.44852878230444521</v>
      </c>
      <c r="AG188" s="115">
        <f t="shared" si="324"/>
        <v>0.69456833583790811</v>
      </c>
      <c r="AH188" s="116">
        <f t="shared" si="325"/>
        <v>0.19723745718781788</v>
      </c>
      <c r="AI188" s="97">
        <f t="shared" si="337"/>
        <v>4.5418892177622495E-2</v>
      </c>
      <c r="AJ188" s="9"/>
      <c r="AK188" s="9">
        <f>GFA!AJ189</f>
        <v>0.71751804388029228</v>
      </c>
      <c r="AL188" s="9">
        <f>GFA!AL189</f>
        <v>0</v>
      </c>
      <c r="AM188" s="97">
        <f t="shared" si="326"/>
        <v>0.64576623949226308</v>
      </c>
      <c r="AN188" s="9">
        <f t="shared" si="327"/>
        <v>0.49394767448206772</v>
      </c>
      <c r="AO188" s="115">
        <f t="shared" si="328"/>
        <v>0.76490166917124147</v>
      </c>
      <c r="AP188" s="116">
        <f t="shared" si="329"/>
        <v>0.15181856501019536</v>
      </c>
      <c r="AQ188" s="97">
        <f t="shared" si="338"/>
        <v>1.0805591815672267E-2</v>
      </c>
      <c r="AR188" s="9"/>
      <c r="AS188" s="9">
        <f>GFA!AR189</f>
        <v>0.71751804388029228</v>
      </c>
      <c r="AT188" s="9">
        <f>GFA!AT189</f>
        <v>0</v>
      </c>
      <c r="AU188" s="97">
        <f t="shared" si="330"/>
        <v>0.64576623949226308</v>
      </c>
      <c r="AV188" s="9">
        <f t="shared" si="331"/>
        <v>0.50475326629773998</v>
      </c>
      <c r="AW188" s="115">
        <f t="shared" si="332"/>
        <v>0.78163464645442715</v>
      </c>
      <c r="AX188" s="116">
        <f t="shared" si="333"/>
        <v>0.14101297319452311</v>
      </c>
      <c r="AY188" s="97">
        <f t="shared" si="339"/>
        <v>1.0805591815672267E-2</v>
      </c>
    </row>
    <row r="189" spans="2:51" x14ac:dyDescent="0.35">
      <c r="B189" s="7" t="s">
        <v>145</v>
      </c>
      <c r="C189" s="14">
        <v>6.3299999999999995E-2</v>
      </c>
      <c r="D189" s="9"/>
      <c r="E189" s="9">
        <f>GFA!D190</f>
        <v>0</v>
      </c>
      <c r="F189" s="9">
        <f>GFA!F190</f>
        <v>0</v>
      </c>
      <c r="G189" s="97">
        <f t="shared" si="311"/>
        <v>0</v>
      </c>
      <c r="H189" s="9">
        <v>0</v>
      </c>
      <c r="I189" s="115">
        <f t="shared" si="312"/>
        <v>0</v>
      </c>
      <c r="J189" s="116">
        <f t="shared" si="313"/>
        <v>0</v>
      </c>
      <c r="K189" s="97">
        <f t="shared" si="334"/>
        <v>0</v>
      </c>
      <c r="L189" s="9"/>
      <c r="M189" s="9">
        <f>GFA!L190</f>
        <v>0</v>
      </c>
      <c r="N189" s="9">
        <f>GFA!N190</f>
        <v>0</v>
      </c>
      <c r="O189" s="97">
        <f t="shared" si="314"/>
        <v>0</v>
      </c>
      <c r="P189" s="9">
        <f t="shared" si="315"/>
        <v>0</v>
      </c>
      <c r="Q189" s="115">
        <f t="shared" si="316"/>
        <v>0</v>
      </c>
      <c r="R189" s="116">
        <f t="shared" si="317"/>
        <v>0</v>
      </c>
      <c r="S189" s="97">
        <f t="shared" si="335"/>
        <v>0</v>
      </c>
      <c r="T189" s="9"/>
      <c r="U189" s="9">
        <f>GFA!T190</f>
        <v>0</v>
      </c>
      <c r="V189" s="9">
        <f>GFA!V190</f>
        <v>0</v>
      </c>
      <c r="W189" s="97">
        <f t="shared" si="318"/>
        <v>0</v>
      </c>
      <c r="X189" s="9">
        <f t="shared" si="319"/>
        <v>0</v>
      </c>
      <c r="Y189" s="115">
        <f t="shared" si="320"/>
        <v>0</v>
      </c>
      <c r="Z189" s="116">
        <f t="shared" si="321"/>
        <v>0</v>
      </c>
      <c r="AA189" s="97">
        <f t="shared" si="336"/>
        <v>0</v>
      </c>
      <c r="AB189" s="9"/>
      <c r="AC189" s="9">
        <f>GFA!AB190</f>
        <v>0</v>
      </c>
      <c r="AD189" s="9">
        <f>GFA!AD190</f>
        <v>0</v>
      </c>
      <c r="AE189" s="97">
        <f t="shared" si="322"/>
        <v>0</v>
      </c>
      <c r="AF189" s="9">
        <f t="shared" si="323"/>
        <v>0</v>
      </c>
      <c r="AG189" s="115">
        <f t="shared" si="324"/>
        <v>0</v>
      </c>
      <c r="AH189" s="116">
        <f t="shared" si="325"/>
        <v>0</v>
      </c>
      <c r="AI189" s="97">
        <f t="shared" si="337"/>
        <v>0</v>
      </c>
      <c r="AJ189" s="9"/>
      <c r="AK189" s="9">
        <f>GFA!AJ190</f>
        <v>0</v>
      </c>
      <c r="AL189" s="9">
        <f>GFA!AL190</f>
        <v>0</v>
      </c>
      <c r="AM189" s="97">
        <f t="shared" si="326"/>
        <v>0</v>
      </c>
      <c r="AN189" s="9">
        <f t="shared" si="327"/>
        <v>0</v>
      </c>
      <c r="AO189" s="115">
        <f t="shared" si="328"/>
        <v>0</v>
      </c>
      <c r="AP189" s="116">
        <f t="shared" si="329"/>
        <v>0</v>
      </c>
      <c r="AQ189" s="97">
        <f t="shared" si="338"/>
        <v>0</v>
      </c>
      <c r="AR189" s="9"/>
      <c r="AS189" s="9">
        <f>GFA!AR190</f>
        <v>0</v>
      </c>
      <c r="AT189" s="9">
        <f>GFA!AT190</f>
        <v>0</v>
      </c>
      <c r="AU189" s="97">
        <f t="shared" si="330"/>
        <v>0</v>
      </c>
      <c r="AV189" s="9">
        <f t="shared" si="331"/>
        <v>0</v>
      </c>
      <c r="AW189" s="115">
        <f t="shared" si="332"/>
        <v>0</v>
      </c>
      <c r="AX189" s="116">
        <f t="shared" si="333"/>
        <v>0</v>
      </c>
      <c r="AY189" s="97">
        <f t="shared" si="339"/>
        <v>0</v>
      </c>
    </row>
    <row r="190" spans="2:51" x14ac:dyDescent="0.35">
      <c r="B190" s="7" t="s">
        <v>146</v>
      </c>
      <c r="C190" s="14">
        <v>0.15</v>
      </c>
      <c r="D190" s="9"/>
      <c r="E190" s="9">
        <f>GFA!D191</f>
        <v>0</v>
      </c>
      <c r="F190" s="9">
        <f>GFA!F191</f>
        <v>0</v>
      </c>
      <c r="G190" s="97">
        <f t="shared" si="311"/>
        <v>0</v>
      </c>
      <c r="H190" s="9">
        <v>0</v>
      </c>
      <c r="I190" s="115">
        <f t="shared" si="312"/>
        <v>0</v>
      </c>
      <c r="J190" s="116">
        <f t="shared" si="313"/>
        <v>0</v>
      </c>
      <c r="K190" s="97">
        <f t="shared" si="334"/>
        <v>0</v>
      </c>
      <c r="L190" s="9"/>
      <c r="M190" s="9">
        <f>GFA!L191</f>
        <v>0</v>
      </c>
      <c r="N190" s="9">
        <f>GFA!N191</f>
        <v>0</v>
      </c>
      <c r="O190" s="97">
        <f t="shared" si="314"/>
        <v>0</v>
      </c>
      <c r="P190" s="9">
        <f t="shared" si="315"/>
        <v>0</v>
      </c>
      <c r="Q190" s="115">
        <f t="shared" si="316"/>
        <v>0</v>
      </c>
      <c r="R190" s="116">
        <f t="shared" si="317"/>
        <v>0</v>
      </c>
      <c r="S190" s="97">
        <f t="shared" si="335"/>
        <v>0</v>
      </c>
      <c r="T190" s="9"/>
      <c r="U190" s="9">
        <f>GFA!T191</f>
        <v>0</v>
      </c>
      <c r="V190" s="9">
        <f>GFA!V191</f>
        <v>0</v>
      </c>
      <c r="W190" s="97">
        <f t="shared" si="318"/>
        <v>0</v>
      </c>
      <c r="X190" s="9">
        <f t="shared" si="319"/>
        <v>0</v>
      </c>
      <c r="Y190" s="115">
        <f t="shared" si="320"/>
        <v>0</v>
      </c>
      <c r="Z190" s="116">
        <f t="shared" si="321"/>
        <v>0</v>
      </c>
      <c r="AA190" s="97">
        <f t="shared" si="336"/>
        <v>0</v>
      </c>
      <c r="AB190" s="9"/>
      <c r="AC190" s="9">
        <f>GFA!AB191</f>
        <v>0</v>
      </c>
      <c r="AD190" s="9">
        <f>GFA!AD191</f>
        <v>0</v>
      </c>
      <c r="AE190" s="97">
        <f t="shared" si="322"/>
        <v>0</v>
      </c>
      <c r="AF190" s="9">
        <f t="shared" si="323"/>
        <v>0</v>
      </c>
      <c r="AG190" s="115">
        <f t="shared" si="324"/>
        <v>0</v>
      </c>
      <c r="AH190" s="116">
        <f t="shared" si="325"/>
        <v>0</v>
      </c>
      <c r="AI190" s="97">
        <f t="shared" si="337"/>
        <v>0</v>
      </c>
      <c r="AJ190" s="9"/>
      <c r="AK190" s="9">
        <f>GFA!AJ191</f>
        <v>0</v>
      </c>
      <c r="AL190" s="9">
        <f>GFA!AL191</f>
        <v>0</v>
      </c>
      <c r="AM190" s="97">
        <f t="shared" si="326"/>
        <v>0</v>
      </c>
      <c r="AN190" s="9">
        <f t="shared" si="327"/>
        <v>0</v>
      </c>
      <c r="AO190" s="115">
        <f t="shared" si="328"/>
        <v>0</v>
      </c>
      <c r="AP190" s="116">
        <f t="shared" si="329"/>
        <v>0</v>
      </c>
      <c r="AQ190" s="97">
        <f t="shared" si="338"/>
        <v>0</v>
      </c>
      <c r="AR190" s="9"/>
      <c r="AS190" s="9">
        <f>GFA!AR191</f>
        <v>0</v>
      </c>
      <c r="AT190" s="9">
        <f>GFA!AT191</f>
        <v>0</v>
      </c>
      <c r="AU190" s="97">
        <f t="shared" si="330"/>
        <v>0</v>
      </c>
      <c r="AV190" s="9">
        <f t="shared" si="331"/>
        <v>0</v>
      </c>
      <c r="AW190" s="115">
        <f t="shared" si="332"/>
        <v>0</v>
      </c>
      <c r="AX190" s="116">
        <f t="shared" si="333"/>
        <v>0</v>
      </c>
      <c r="AY190" s="97">
        <f t="shared" si="339"/>
        <v>0</v>
      </c>
    </row>
    <row r="191" spans="2:51" x14ac:dyDescent="0.35">
      <c r="B191" s="7" t="s">
        <v>147</v>
      </c>
      <c r="C191" s="14">
        <v>0.3</v>
      </c>
      <c r="D191" s="9"/>
      <c r="E191" s="9">
        <f>GFA!D192</f>
        <v>0</v>
      </c>
      <c r="F191" s="9">
        <f>GFA!F192</f>
        <v>0</v>
      </c>
      <c r="G191" s="97">
        <f t="shared" si="311"/>
        <v>0</v>
      </c>
      <c r="H191" s="9">
        <v>0</v>
      </c>
      <c r="I191" s="115">
        <f t="shared" si="312"/>
        <v>0</v>
      </c>
      <c r="J191" s="116">
        <f t="shared" si="313"/>
        <v>0</v>
      </c>
      <c r="K191" s="97">
        <f t="shared" si="334"/>
        <v>0</v>
      </c>
      <c r="L191" s="9"/>
      <c r="M191" s="9">
        <f>GFA!L192</f>
        <v>0</v>
      </c>
      <c r="N191" s="9">
        <f>GFA!N192</f>
        <v>0</v>
      </c>
      <c r="O191" s="97">
        <f t="shared" si="314"/>
        <v>0</v>
      </c>
      <c r="P191" s="9">
        <f t="shared" si="315"/>
        <v>0</v>
      </c>
      <c r="Q191" s="115">
        <f t="shared" si="316"/>
        <v>0</v>
      </c>
      <c r="R191" s="116">
        <f t="shared" si="317"/>
        <v>0</v>
      </c>
      <c r="S191" s="97">
        <f t="shared" si="335"/>
        <v>0</v>
      </c>
      <c r="T191" s="9"/>
      <c r="U191" s="9">
        <f>GFA!T192</f>
        <v>0</v>
      </c>
      <c r="V191" s="9">
        <f>GFA!V192</f>
        <v>0</v>
      </c>
      <c r="W191" s="97">
        <f t="shared" si="318"/>
        <v>0</v>
      </c>
      <c r="X191" s="9">
        <f t="shared" si="319"/>
        <v>0</v>
      </c>
      <c r="Y191" s="115">
        <f t="shared" si="320"/>
        <v>0</v>
      </c>
      <c r="Z191" s="116">
        <f t="shared" si="321"/>
        <v>0</v>
      </c>
      <c r="AA191" s="97">
        <f t="shared" si="336"/>
        <v>0</v>
      </c>
      <c r="AB191" s="9"/>
      <c r="AC191" s="9">
        <f>GFA!AB192</f>
        <v>0</v>
      </c>
      <c r="AD191" s="9">
        <f>GFA!AD192</f>
        <v>0</v>
      </c>
      <c r="AE191" s="97">
        <f t="shared" si="322"/>
        <v>0</v>
      </c>
      <c r="AF191" s="9">
        <f t="shared" si="323"/>
        <v>0</v>
      </c>
      <c r="AG191" s="115">
        <f t="shared" si="324"/>
        <v>0</v>
      </c>
      <c r="AH191" s="116">
        <f t="shared" si="325"/>
        <v>0</v>
      </c>
      <c r="AI191" s="97">
        <f t="shared" si="337"/>
        <v>0</v>
      </c>
      <c r="AJ191" s="9"/>
      <c r="AK191" s="9">
        <f>GFA!AJ192</f>
        <v>0</v>
      </c>
      <c r="AL191" s="9">
        <f>GFA!AL192</f>
        <v>0</v>
      </c>
      <c r="AM191" s="97">
        <f t="shared" si="326"/>
        <v>0</v>
      </c>
      <c r="AN191" s="9">
        <f t="shared" si="327"/>
        <v>0</v>
      </c>
      <c r="AO191" s="115">
        <f t="shared" si="328"/>
        <v>0</v>
      </c>
      <c r="AP191" s="116">
        <f t="shared" si="329"/>
        <v>0</v>
      </c>
      <c r="AQ191" s="97">
        <f t="shared" si="338"/>
        <v>0</v>
      </c>
      <c r="AR191" s="9"/>
      <c r="AS191" s="9">
        <f>GFA!AR192</f>
        <v>0</v>
      </c>
      <c r="AT191" s="9">
        <f>GFA!AT192</f>
        <v>0</v>
      </c>
      <c r="AU191" s="97">
        <f t="shared" si="330"/>
        <v>0</v>
      </c>
      <c r="AV191" s="9">
        <f t="shared" si="331"/>
        <v>0</v>
      </c>
      <c r="AW191" s="115">
        <f t="shared" si="332"/>
        <v>0</v>
      </c>
      <c r="AX191" s="116">
        <f t="shared" si="333"/>
        <v>0</v>
      </c>
      <c r="AY191" s="97">
        <f t="shared" si="339"/>
        <v>0</v>
      </c>
    </row>
    <row r="192" spans="2:51" x14ac:dyDescent="0.35">
      <c r="B192" s="7" t="s">
        <v>148</v>
      </c>
      <c r="C192" s="14">
        <v>0.3</v>
      </c>
      <c r="D192" s="9"/>
      <c r="E192" s="9">
        <f>GFA!D193</f>
        <v>0</v>
      </c>
      <c r="F192" s="9">
        <f>GFA!F193</f>
        <v>0</v>
      </c>
      <c r="G192" s="97">
        <f t="shared" si="311"/>
        <v>0</v>
      </c>
      <c r="H192" s="9">
        <v>0</v>
      </c>
      <c r="I192" s="115">
        <f t="shared" si="312"/>
        <v>0</v>
      </c>
      <c r="J192" s="116">
        <f t="shared" si="313"/>
        <v>0</v>
      </c>
      <c r="K192" s="97">
        <f t="shared" si="334"/>
        <v>0</v>
      </c>
      <c r="L192" s="9"/>
      <c r="M192" s="9">
        <f>GFA!L193</f>
        <v>0</v>
      </c>
      <c r="N192" s="9">
        <f>GFA!N193</f>
        <v>0</v>
      </c>
      <c r="O192" s="97">
        <f t="shared" si="314"/>
        <v>0</v>
      </c>
      <c r="P192" s="9">
        <f t="shared" si="315"/>
        <v>0</v>
      </c>
      <c r="Q192" s="115">
        <f t="shared" si="316"/>
        <v>0</v>
      </c>
      <c r="R192" s="116">
        <f t="shared" si="317"/>
        <v>0</v>
      </c>
      <c r="S192" s="97">
        <f t="shared" si="335"/>
        <v>0</v>
      </c>
      <c r="T192" s="9"/>
      <c r="U192" s="9">
        <f>GFA!T193</f>
        <v>0</v>
      </c>
      <c r="V192" s="9">
        <f>GFA!V193</f>
        <v>0</v>
      </c>
      <c r="W192" s="97">
        <f t="shared" si="318"/>
        <v>0</v>
      </c>
      <c r="X192" s="9">
        <f t="shared" si="319"/>
        <v>0</v>
      </c>
      <c r="Y192" s="115">
        <f t="shared" si="320"/>
        <v>0</v>
      </c>
      <c r="Z192" s="116">
        <f t="shared" si="321"/>
        <v>0</v>
      </c>
      <c r="AA192" s="97">
        <f t="shared" si="336"/>
        <v>0</v>
      </c>
      <c r="AB192" s="9"/>
      <c r="AC192" s="9">
        <f>GFA!AB193</f>
        <v>0</v>
      </c>
      <c r="AD192" s="9">
        <f>GFA!AD193</f>
        <v>0</v>
      </c>
      <c r="AE192" s="97">
        <f t="shared" si="322"/>
        <v>0</v>
      </c>
      <c r="AF192" s="9">
        <f t="shared" si="323"/>
        <v>0</v>
      </c>
      <c r="AG192" s="115">
        <f t="shared" si="324"/>
        <v>0</v>
      </c>
      <c r="AH192" s="116">
        <f t="shared" si="325"/>
        <v>0</v>
      </c>
      <c r="AI192" s="97">
        <f t="shared" si="337"/>
        <v>0</v>
      </c>
      <c r="AJ192" s="9"/>
      <c r="AK192" s="9">
        <f>GFA!AJ193</f>
        <v>0</v>
      </c>
      <c r="AL192" s="9">
        <f>GFA!AL193</f>
        <v>0</v>
      </c>
      <c r="AM192" s="97">
        <f t="shared" si="326"/>
        <v>0</v>
      </c>
      <c r="AN192" s="9">
        <f t="shared" si="327"/>
        <v>0</v>
      </c>
      <c r="AO192" s="115">
        <f t="shared" si="328"/>
        <v>0</v>
      </c>
      <c r="AP192" s="116">
        <f t="shared" si="329"/>
        <v>0</v>
      </c>
      <c r="AQ192" s="97">
        <f t="shared" si="338"/>
        <v>0</v>
      </c>
      <c r="AR192" s="9"/>
      <c r="AS192" s="9">
        <f>GFA!AR193</f>
        <v>0</v>
      </c>
      <c r="AT192" s="9">
        <f>GFA!AT193</f>
        <v>0</v>
      </c>
      <c r="AU192" s="97">
        <f t="shared" si="330"/>
        <v>0</v>
      </c>
      <c r="AV192" s="9">
        <f t="shared" si="331"/>
        <v>0</v>
      </c>
      <c r="AW192" s="115">
        <f t="shared" si="332"/>
        <v>0</v>
      </c>
      <c r="AX192" s="116">
        <f t="shared" si="333"/>
        <v>0</v>
      </c>
      <c r="AY192" s="97">
        <f t="shared" si="339"/>
        <v>0</v>
      </c>
    </row>
    <row r="193" spans="2:51" ht="31" x14ac:dyDescent="0.35">
      <c r="B193" s="84" t="s">
        <v>149</v>
      </c>
      <c r="C193" s="117">
        <v>3.3399999999999999E-2</v>
      </c>
      <c r="D193" s="9"/>
      <c r="E193" s="9">
        <f>GFA!D194</f>
        <v>0</v>
      </c>
      <c r="F193" s="9">
        <f>GFA!F194</f>
        <v>0</v>
      </c>
      <c r="G193" s="97">
        <f t="shared" si="311"/>
        <v>0</v>
      </c>
      <c r="H193" s="9">
        <v>0</v>
      </c>
      <c r="I193" s="115">
        <f t="shared" si="312"/>
        <v>0</v>
      </c>
      <c r="J193" s="116">
        <f t="shared" si="313"/>
        <v>0</v>
      </c>
      <c r="K193" s="97">
        <f t="shared" si="334"/>
        <v>0</v>
      </c>
      <c r="L193" s="9"/>
      <c r="M193" s="9">
        <f>GFA!L194</f>
        <v>0</v>
      </c>
      <c r="N193" s="9">
        <f>GFA!N194</f>
        <v>0</v>
      </c>
      <c r="O193" s="97">
        <f t="shared" si="314"/>
        <v>0</v>
      </c>
      <c r="P193" s="9">
        <f t="shared" si="315"/>
        <v>0</v>
      </c>
      <c r="Q193" s="115">
        <f t="shared" si="316"/>
        <v>0</v>
      </c>
      <c r="R193" s="116">
        <f t="shared" si="317"/>
        <v>0</v>
      </c>
      <c r="S193" s="97">
        <f t="shared" si="335"/>
        <v>0</v>
      </c>
      <c r="T193" s="9"/>
      <c r="U193" s="9">
        <f>GFA!T194</f>
        <v>0</v>
      </c>
      <c r="V193" s="9">
        <f>GFA!V194</f>
        <v>0</v>
      </c>
      <c r="W193" s="97">
        <f t="shared" si="318"/>
        <v>0</v>
      </c>
      <c r="X193" s="9">
        <f t="shared" si="319"/>
        <v>0</v>
      </c>
      <c r="Y193" s="115">
        <f t="shared" si="320"/>
        <v>0</v>
      </c>
      <c r="Z193" s="116">
        <f t="shared" si="321"/>
        <v>0</v>
      </c>
      <c r="AA193" s="97">
        <f t="shared" si="336"/>
        <v>0</v>
      </c>
      <c r="AB193" s="9"/>
      <c r="AC193" s="9">
        <f>GFA!AB194</f>
        <v>0</v>
      </c>
      <c r="AD193" s="9">
        <f>GFA!AD194</f>
        <v>0</v>
      </c>
      <c r="AE193" s="97">
        <f t="shared" si="322"/>
        <v>0</v>
      </c>
      <c r="AF193" s="9">
        <f t="shared" si="323"/>
        <v>0</v>
      </c>
      <c r="AG193" s="115">
        <f t="shared" si="324"/>
        <v>0</v>
      </c>
      <c r="AH193" s="116">
        <f t="shared" si="325"/>
        <v>0</v>
      </c>
      <c r="AI193" s="97">
        <f t="shared" si="337"/>
        <v>0</v>
      </c>
      <c r="AJ193" s="9"/>
      <c r="AK193" s="9">
        <f>GFA!AJ194</f>
        <v>0</v>
      </c>
      <c r="AL193" s="9">
        <f>GFA!AL194</f>
        <v>0</v>
      </c>
      <c r="AM193" s="97">
        <f t="shared" si="326"/>
        <v>0</v>
      </c>
      <c r="AN193" s="9">
        <f t="shared" si="327"/>
        <v>0</v>
      </c>
      <c r="AO193" s="115">
        <f t="shared" si="328"/>
        <v>0</v>
      </c>
      <c r="AP193" s="116">
        <f t="shared" si="329"/>
        <v>0</v>
      </c>
      <c r="AQ193" s="97">
        <f t="shared" si="338"/>
        <v>0</v>
      </c>
      <c r="AR193" s="9"/>
      <c r="AS193" s="9">
        <f>GFA!AR194</f>
        <v>0</v>
      </c>
      <c r="AT193" s="9">
        <f>GFA!AT194</f>
        <v>0</v>
      </c>
      <c r="AU193" s="97">
        <f t="shared" si="330"/>
        <v>0</v>
      </c>
      <c r="AV193" s="9">
        <f t="shared" si="331"/>
        <v>0</v>
      </c>
      <c r="AW193" s="115">
        <f t="shared" si="332"/>
        <v>0</v>
      </c>
      <c r="AX193" s="116">
        <f t="shared" si="333"/>
        <v>0</v>
      </c>
      <c r="AY193" s="97">
        <f t="shared" si="339"/>
        <v>0</v>
      </c>
    </row>
    <row r="194" spans="2:51" x14ac:dyDescent="0.35">
      <c r="B194" s="12" t="s">
        <v>27</v>
      </c>
      <c r="C194" s="12"/>
      <c r="D194" s="13"/>
      <c r="E194" s="13">
        <f t="shared" ref="E194:AY194" si="340">SUM(E177:E193)</f>
        <v>3533.7143286334531</v>
      </c>
      <c r="F194" s="13">
        <f t="shared" si="340"/>
        <v>5.5499999999999989</v>
      </c>
      <c r="G194" s="13">
        <f t="shared" si="340"/>
        <v>3185.3378957701079</v>
      </c>
      <c r="H194" s="13">
        <f t="shared" si="340"/>
        <v>1133.7376650479794</v>
      </c>
      <c r="I194" s="13"/>
      <c r="J194" s="13">
        <f t="shared" si="340"/>
        <v>2051.6002307221279</v>
      </c>
      <c r="K194" s="13">
        <f t="shared" si="340"/>
        <v>178.72332246336705</v>
      </c>
      <c r="L194" s="13"/>
      <c r="M194" s="13">
        <f t="shared" si="340"/>
        <v>3539.2643286334533</v>
      </c>
      <c r="N194" s="13">
        <f t="shared" si="340"/>
        <v>23.133116613999999</v>
      </c>
      <c r="O194" s="13">
        <f t="shared" si="340"/>
        <v>3206.1577007227083</v>
      </c>
      <c r="P194" s="13">
        <f t="shared" si="340"/>
        <v>1312.4609875113465</v>
      </c>
      <c r="Q194" s="13"/>
      <c r="R194" s="13">
        <f t="shared" si="340"/>
        <v>1893.6967132113612</v>
      </c>
      <c r="S194" s="13">
        <f t="shared" si="340"/>
        <v>179.81186517190565</v>
      </c>
      <c r="T194" s="13"/>
      <c r="U194" s="13">
        <f t="shared" si="340"/>
        <v>3557.3347952474533</v>
      </c>
      <c r="V194" s="13">
        <f t="shared" si="340"/>
        <v>75.511317340360563</v>
      </c>
      <c r="W194" s="13">
        <f t="shared" si="340"/>
        <v>3269.5615013290326</v>
      </c>
      <c r="X194" s="13">
        <f t="shared" si="340"/>
        <v>1492.2728526832525</v>
      </c>
      <c r="Y194" s="13"/>
      <c r="Z194" s="13">
        <f t="shared" si="340"/>
        <v>1777.2886486457801</v>
      </c>
      <c r="AA194" s="13">
        <f t="shared" si="340"/>
        <v>181.90941190939628</v>
      </c>
      <c r="AB194" s="13"/>
      <c r="AC194" s="13">
        <f t="shared" si="340"/>
        <v>3627.9307348878137</v>
      </c>
      <c r="AD194" s="13">
        <f t="shared" si="340"/>
        <v>22.099999999999998</v>
      </c>
      <c r="AE194" s="13">
        <f t="shared" si="340"/>
        <v>3285.0276613990327</v>
      </c>
      <c r="AF194" s="13">
        <f t="shared" si="340"/>
        <v>1674.1822645926486</v>
      </c>
      <c r="AG194" s="13"/>
      <c r="AH194" s="13">
        <f t="shared" si="340"/>
        <v>1610.8453968063839</v>
      </c>
      <c r="AI194" s="13">
        <f t="shared" si="340"/>
        <v>180.39180281666444</v>
      </c>
      <c r="AJ194" s="13"/>
      <c r="AK194" s="13">
        <f t="shared" si="340"/>
        <v>3650.0307348878137</v>
      </c>
      <c r="AL194" s="13">
        <f t="shared" si="340"/>
        <v>269.40760869565219</v>
      </c>
      <c r="AM194" s="13">
        <f t="shared" si="340"/>
        <v>3527.4945092251191</v>
      </c>
      <c r="AN194" s="13">
        <f t="shared" si="340"/>
        <v>1854.5740674093131</v>
      </c>
      <c r="AO194" s="13"/>
      <c r="AP194" s="13">
        <f t="shared" si="340"/>
        <v>1672.9204418158058</v>
      </c>
      <c r="AQ194" s="13">
        <f t="shared" si="340"/>
        <v>188.00120963360521</v>
      </c>
      <c r="AR194" s="13"/>
      <c r="AS194" s="13">
        <f t="shared" si="340"/>
        <v>3919.4383435834657</v>
      </c>
      <c r="AT194" s="13">
        <f t="shared" si="340"/>
        <v>282.00999999999993</v>
      </c>
      <c r="AU194" s="13">
        <f t="shared" si="340"/>
        <v>3781.3035092251189</v>
      </c>
      <c r="AV194" s="13">
        <f t="shared" si="340"/>
        <v>2042.5752770429183</v>
      </c>
      <c r="AW194" s="13"/>
      <c r="AX194" s="13">
        <f t="shared" si="340"/>
        <v>1738.7282321822006</v>
      </c>
      <c r="AY194" s="13">
        <f t="shared" si="340"/>
        <v>201.16921324621197</v>
      </c>
    </row>
    <row r="195" spans="2:51" x14ac:dyDescent="0.35">
      <c r="B195" s="70" t="s">
        <v>157</v>
      </c>
      <c r="C195" s="70"/>
      <c r="D195" s="118">
        <v>19.21</v>
      </c>
      <c r="E195" s="7"/>
      <c r="F195" s="7"/>
      <c r="G195" s="7"/>
      <c r="H195" s="7"/>
      <c r="I195" s="7"/>
      <c r="J195" s="7"/>
      <c r="K195" s="7"/>
      <c r="L195" s="118">
        <f>D195-1</f>
        <v>18.21</v>
      </c>
      <c r="M195" s="7"/>
      <c r="N195" s="7"/>
      <c r="O195" s="7"/>
      <c r="P195" s="7"/>
      <c r="Q195" s="7"/>
      <c r="R195" s="7"/>
      <c r="S195" s="7"/>
      <c r="T195" s="118">
        <f>L195-1</f>
        <v>17.21</v>
      </c>
      <c r="U195" s="7"/>
      <c r="V195" s="7"/>
      <c r="W195" s="7"/>
      <c r="X195" s="7"/>
      <c r="Y195" s="7"/>
      <c r="Z195" s="7"/>
      <c r="AA195" s="7"/>
      <c r="AB195" s="118">
        <f>T195-1</f>
        <v>16.21</v>
      </c>
      <c r="AC195" s="7"/>
      <c r="AD195" s="7"/>
      <c r="AE195" s="7"/>
      <c r="AF195" s="7"/>
      <c r="AG195" s="7"/>
      <c r="AH195" s="7"/>
      <c r="AI195" s="7"/>
      <c r="AJ195" s="118">
        <f>AB195-1</f>
        <v>15.21</v>
      </c>
      <c r="AK195" s="7"/>
      <c r="AL195" s="7"/>
      <c r="AM195" s="7"/>
      <c r="AN195" s="7"/>
      <c r="AO195" s="7"/>
      <c r="AP195" s="7"/>
      <c r="AQ195" s="7"/>
      <c r="AR195" s="118">
        <f>AJ195-1</f>
        <v>14.21</v>
      </c>
      <c r="AS195" s="9"/>
      <c r="AT195" s="9"/>
      <c r="AU195" s="9"/>
      <c r="AV195" s="9"/>
      <c r="AW195" s="9"/>
      <c r="AX195" s="9"/>
      <c r="AY195" s="9"/>
    </row>
    <row r="196" spans="2:51" x14ac:dyDescent="0.35">
      <c r="B196" s="7" t="s">
        <v>133</v>
      </c>
      <c r="C196" s="14">
        <v>0</v>
      </c>
      <c r="D196" s="9"/>
      <c r="E196" s="9">
        <f>GFA!D197</f>
        <v>12.275101671790779</v>
      </c>
      <c r="F196" s="9">
        <f>GFA!F197</f>
        <v>0</v>
      </c>
      <c r="G196" s="97">
        <f t="shared" ref="G196:G212" si="341">90%*(E196+F196)</f>
        <v>11.047591504611701</v>
      </c>
      <c r="H196" s="9">
        <v>0</v>
      </c>
      <c r="I196" s="115">
        <f t="shared" ref="I196:I212" si="342">IFERROR(H196/G196,0)</f>
        <v>0</v>
      </c>
      <c r="J196" s="116">
        <f t="shared" ref="J196:J212" si="343">MAX(G196-H196,0)</f>
        <v>11.047591504611701</v>
      </c>
      <c r="K196" s="97">
        <f>IF(I196&lt;70%,MIN(J196,(E196+F196/2)*$C196),J196/D$195)</f>
        <v>0</v>
      </c>
      <c r="L196" s="9"/>
      <c r="M196" s="9">
        <f>GFA!L197</f>
        <v>12.275101671790779</v>
      </c>
      <c r="N196" s="9">
        <f>GFA!N197</f>
        <v>0</v>
      </c>
      <c r="O196" s="97">
        <f t="shared" ref="O196:O212" si="344">90%*(M196+N196)</f>
        <v>11.047591504611701</v>
      </c>
      <c r="P196" s="9">
        <f t="shared" ref="P196:P212" si="345">H196+K196</f>
        <v>0</v>
      </c>
      <c r="Q196" s="115">
        <f t="shared" ref="Q196:Q212" si="346">IFERROR(P196/O196,0)</f>
        <v>0</v>
      </c>
      <c r="R196" s="116">
        <f t="shared" ref="R196:R212" si="347">MAX(O196-P196,0)</f>
        <v>11.047591504611701</v>
      </c>
      <c r="S196" s="97">
        <f>IF(Q196&lt;70%,MIN(R196,(M196+N196/2)*$C196),R196/L$195)</f>
        <v>0</v>
      </c>
      <c r="T196" s="9"/>
      <c r="U196" s="9">
        <f>GFA!T197</f>
        <v>12.275101671790779</v>
      </c>
      <c r="V196" s="9">
        <f>GFA!V197</f>
        <v>0</v>
      </c>
      <c r="W196" s="97">
        <f t="shared" ref="W196:W212" si="348">90%*(U196+V196)</f>
        <v>11.047591504611701</v>
      </c>
      <c r="X196" s="9">
        <f t="shared" ref="X196:X212" si="349">P196+S196</f>
        <v>0</v>
      </c>
      <c r="Y196" s="115">
        <f t="shared" ref="Y196:Y212" si="350">IFERROR(X196/W196,0)</f>
        <v>0</v>
      </c>
      <c r="Z196" s="116">
        <f t="shared" ref="Z196:Z212" si="351">MAX(W196-X196,0)</f>
        <v>11.047591504611701</v>
      </c>
      <c r="AA196" s="97">
        <f>IF(Y196&lt;70%,MIN(Z196,(U196+V196/2)*$C196),Z196/T$195)</f>
        <v>0</v>
      </c>
      <c r="AB196" s="9"/>
      <c r="AC196" s="9">
        <f>GFA!AB197</f>
        <v>12.275101671790779</v>
      </c>
      <c r="AD196" s="9">
        <f>GFA!AD197</f>
        <v>0</v>
      </c>
      <c r="AE196" s="97">
        <f t="shared" ref="AE196:AE212" si="352">90%*(AC196+AD196)</f>
        <v>11.047591504611701</v>
      </c>
      <c r="AF196" s="9">
        <f t="shared" ref="AF196:AF212" si="353">X196+AA196</f>
        <v>0</v>
      </c>
      <c r="AG196" s="115">
        <f t="shared" ref="AG196:AG212" si="354">IFERROR(AF196/AE196,0)</f>
        <v>0</v>
      </c>
      <c r="AH196" s="116">
        <f t="shared" ref="AH196:AH212" si="355">MAX(AE196-AF196,0)</f>
        <v>11.047591504611701</v>
      </c>
      <c r="AI196" s="97">
        <f>IF(AG196&lt;70%,MIN(AH196,(AC196+AD196/2)*$C196),AH196/AB$195)</f>
        <v>0</v>
      </c>
      <c r="AJ196" s="9"/>
      <c r="AK196" s="9">
        <f>GFA!AJ197</f>
        <v>12.275101671790779</v>
      </c>
      <c r="AL196" s="9">
        <f>GFA!AL197</f>
        <v>0</v>
      </c>
      <c r="AM196" s="97">
        <f t="shared" ref="AM196:AM212" si="356">90%*(AK196+AL196)</f>
        <v>11.047591504611701</v>
      </c>
      <c r="AN196" s="9">
        <f t="shared" ref="AN196:AN212" si="357">AF196+AI196</f>
        <v>0</v>
      </c>
      <c r="AO196" s="115">
        <f t="shared" ref="AO196:AO212" si="358">IFERROR(AN196/AM196,0)</f>
        <v>0</v>
      </c>
      <c r="AP196" s="116">
        <f t="shared" ref="AP196:AP212" si="359">MAX(AM196-AN196,0)</f>
        <v>11.047591504611701</v>
      </c>
      <c r="AQ196" s="97">
        <f>IF(AO196&lt;70%,MIN(AP196,(AK196+AL196/2)*$C196),AP196/AJ$195)</f>
        <v>0</v>
      </c>
      <c r="AR196" s="9"/>
      <c r="AS196" s="9">
        <f>GFA!AR197</f>
        <v>12.275101671790779</v>
      </c>
      <c r="AT196" s="9">
        <f>GFA!AT197</f>
        <v>0</v>
      </c>
      <c r="AU196" s="97">
        <f t="shared" ref="AU196:AU212" si="360">90%*(AS196+AT196)</f>
        <v>11.047591504611701</v>
      </c>
      <c r="AV196" s="9">
        <f t="shared" ref="AV196:AV212" si="361">AN196+AQ196</f>
        <v>0</v>
      </c>
      <c r="AW196" s="115">
        <f t="shared" ref="AW196:AW212" si="362">IFERROR(AV196/AU196,0)</f>
        <v>0</v>
      </c>
      <c r="AX196" s="116">
        <f t="shared" ref="AX196:AX212" si="363">MAX(AU196-AV196,0)</f>
        <v>11.047591504611701</v>
      </c>
      <c r="AY196" s="97">
        <f>IF(AW196&lt;70%,MIN(AX196,(AS196+AT196/2)*$C196),AX196/AR$195)</f>
        <v>0</v>
      </c>
    </row>
    <row r="197" spans="2:51" x14ac:dyDescent="0.35">
      <c r="B197" s="7" t="s">
        <v>134</v>
      </c>
      <c r="C197" s="14">
        <v>3.3399999999999999E-2</v>
      </c>
      <c r="D197" s="9"/>
      <c r="E197" s="9">
        <f>GFA!D198</f>
        <v>312.12807252537044</v>
      </c>
      <c r="F197" s="9">
        <f>GFA!F198</f>
        <v>7.7175015790623753</v>
      </c>
      <c r="G197" s="97">
        <f t="shared" si="341"/>
        <v>287.86101669398954</v>
      </c>
      <c r="H197" s="9">
        <v>61.931463341322072</v>
      </c>
      <c r="I197" s="115">
        <f t="shared" si="342"/>
        <v>0.21514362747894505</v>
      </c>
      <c r="J197" s="116">
        <f t="shared" si="343"/>
        <v>225.92955335266748</v>
      </c>
      <c r="K197" s="97">
        <f t="shared" ref="K197:K212" si="364">IF(I197&lt;70%,MIN(J197,(E197+F197/2)*$C197),J197/D$195)</f>
        <v>10.553959898717714</v>
      </c>
      <c r="L197" s="9"/>
      <c r="M197" s="9">
        <f>GFA!L198</f>
        <v>319.84557410443284</v>
      </c>
      <c r="N197" s="9">
        <f>GFA!N198</f>
        <v>0</v>
      </c>
      <c r="O197" s="97">
        <f t="shared" si="344"/>
        <v>287.86101669398954</v>
      </c>
      <c r="P197" s="9">
        <f t="shared" si="345"/>
        <v>72.485423240039779</v>
      </c>
      <c r="Q197" s="115">
        <f t="shared" si="346"/>
        <v>0.25180701462294686</v>
      </c>
      <c r="R197" s="116">
        <f t="shared" si="347"/>
        <v>215.37559345394976</v>
      </c>
      <c r="S197" s="97">
        <f t="shared" ref="S197:S212" si="365">IF(Q197&lt;70%,MIN(R197,(M197+N197/2)*$C197),R197/L$195)</f>
        <v>10.682842175088057</v>
      </c>
      <c r="T197" s="9"/>
      <c r="U197" s="9">
        <f>GFA!T198</f>
        <v>319.84557410443284</v>
      </c>
      <c r="V197" s="9">
        <f>GFA!V198</f>
        <v>1.6375919517413677</v>
      </c>
      <c r="W197" s="97">
        <f t="shared" si="348"/>
        <v>289.33484945055676</v>
      </c>
      <c r="X197" s="9">
        <f t="shared" si="349"/>
        <v>83.168265415127834</v>
      </c>
      <c r="Y197" s="115">
        <f t="shared" si="350"/>
        <v>0.28744641571197982</v>
      </c>
      <c r="Z197" s="116">
        <f t="shared" si="351"/>
        <v>206.16658403542891</v>
      </c>
      <c r="AA197" s="97">
        <f t="shared" ref="AA197:AA212" si="366">IF(Y197&lt;70%,MIN(Z197,(U197+V197/2)*$C197),Z197/T$195)</f>
        <v>10.710189960682136</v>
      </c>
      <c r="AB197" s="9"/>
      <c r="AC197" s="9">
        <f>GFA!AB198</f>
        <v>321.48316605617418</v>
      </c>
      <c r="AD197" s="9">
        <f>GFA!AD198</f>
        <v>0</v>
      </c>
      <c r="AE197" s="97">
        <f t="shared" si="352"/>
        <v>289.33484945055676</v>
      </c>
      <c r="AF197" s="9">
        <f t="shared" si="353"/>
        <v>93.878455375809978</v>
      </c>
      <c r="AG197" s="115">
        <f t="shared" si="354"/>
        <v>0.32446300732208366</v>
      </c>
      <c r="AH197" s="116">
        <f t="shared" si="355"/>
        <v>195.45639407474678</v>
      </c>
      <c r="AI197" s="97">
        <f t="shared" ref="AI197:AI212" si="367">IF(AG197&lt;70%,MIN(AH197,(AC197+AD197/2)*$C197),AH197/AB$195)</f>
        <v>10.737537746276217</v>
      </c>
      <c r="AJ197" s="9"/>
      <c r="AK197" s="9">
        <f>GFA!AJ198</f>
        <v>321.48316605617418</v>
      </c>
      <c r="AL197" s="9">
        <f>GFA!AL198</f>
        <v>0</v>
      </c>
      <c r="AM197" s="97">
        <f t="shared" si="356"/>
        <v>289.33484945055676</v>
      </c>
      <c r="AN197" s="9">
        <f t="shared" si="357"/>
        <v>104.61599312208619</v>
      </c>
      <c r="AO197" s="115">
        <f t="shared" si="358"/>
        <v>0.36157411843319481</v>
      </c>
      <c r="AP197" s="116">
        <f t="shared" si="359"/>
        <v>184.71885632847057</v>
      </c>
      <c r="AQ197" s="97">
        <f t="shared" ref="AQ197:AQ212" si="368">IF(AO197&lt;70%,MIN(AP197,(AK197+AL197/2)*$C197),AP197/AJ$195)</f>
        <v>10.737537746276217</v>
      </c>
      <c r="AR197" s="9"/>
      <c r="AS197" s="9">
        <f>GFA!AR198</f>
        <v>321.48316605617418</v>
      </c>
      <c r="AT197" s="9">
        <f>GFA!AT198</f>
        <v>0</v>
      </c>
      <c r="AU197" s="97">
        <f t="shared" si="360"/>
        <v>289.33484945055676</v>
      </c>
      <c r="AV197" s="9">
        <f t="shared" si="361"/>
        <v>115.35353086836241</v>
      </c>
      <c r="AW197" s="115">
        <f t="shared" si="362"/>
        <v>0.39868522954430591</v>
      </c>
      <c r="AX197" s="116">
        <f t="shared" si="363"/>
        <v>173.98131858219435</v>
      </c>
      <c r="AY197" s="97">
        <f t="shared" ref="AY197:AY212" si="369">IF(AW197&lt;70%,MIN(AX197,(AS197+AT197/2)*$C197),AX197/AR$195)</f>
        <v>10.737537746276217</v>
      </c>
    </row>
    <row r="198" spans="2:51" ht="31" x14ac:dyDescent="0.35">
      <c r="B198" s="84" t="s">
        <v>135</v>
      </c>
      <c r="C198" s="117">
        <v>5.28E-2</v>
      </c>
      <c r="D198" s="9"/>
      <c r="E198" s="9">
        <f>GFA!D199</f>
        <v>0</v>
      </c>
      <c r="F198" s="9">
        <f>GFA!F199</f>
        <v>0</v>
      </c>
      <c r="G198" s="97">
        <f t="shared" si="341"/>
        <v>0</v>
      </c>
      <c r="H198" s="9">
        <v>0</v>
      </c>
      <c r="I198" s="115">
        <f t="shared" si="342"/>
        <v>0</v>
      </c>
      <c r="J198" s="116">
        <f t="shared" si="343"/>
        <v>0</v>
      </c>
      <c r="K198" s="97">
        <f t="shared" si="364"/>
        <v>0</v>
      </c>
      <c r="L198" s="9"/>
      <c r="M198" s="9">
        <f>GFA!L199</f>
        <v>0</v>
      </c>
      <c r="N198" s="9">
        <f>GFA!N199</f>
        <v>0</v>
      </c>
      <c r="O198" s="97">
        <f t="shared" si="344"/>
        <v>0</v>
      </c>
      <c r="P198" s="9">
        <f t="shared" si="345"/>
        <v>0</v>
      </c>
      <c r="Q198" s="115">
        <f t="shared" si="346"/>
        <v>0</v>
      </c>
      <c r="R198" s="116">
        <f t="shared" si="347"/>
        <v>0</v>
      </c>
      <c r="S198" s="97">
        <f t="shared" si="365"/>
        <v>0</v>
      </c>
      <c r="T198" s="9"/>
      <c r="U198" s="9">
        <f>GFA!T199</f>
        <v>0</v>
      </c>
      <c r="V198" s="9">
        <f>GFA!V199</f>
        <v>0</v>
      </c>
      <c r="W198" s="97">
        <f t="shared" si="348"/>
        <v>0</v>
      </c>
      <c r="X198" s="9">
        <f t="shared" si="349"/>
        <v>0</v>
      </c>
      <c r="Y198" s="115">
        <f t="shared" si="350"/>
        <v>0</v>
      </c>
      <c r="Z198" s="116">
        <f t="shared" si="351"/>
        <v>0</v>
      </c>
      <c r="AA198" s="97">
        <f t="shared" si="366"/>
        <v>0</v>
      </c>
      <c r="AB198" s="9"/>
      <c r="AC198" s="9">
        <f>GFA!AB199</f>
        <v>0</v>
      </c>
      <c r="AD198" s="9">
        <f>GFA!AD199</f>
        <v>0</v>
      </c>
      <c r="AE198" s="97">
        <f t="shared" si="352"/>
        <v>0</v>
      </c>
      <c r="AF198" s="9">
        <f t="shared" si="353"/>
        <v>0</v>
      </c>
      <c r="AG198" s="115">
        <f t="shared" si="354"/>
        <v>0</v>
      </c>
      <c r="AH198" s="116">
        <f t="shared" si="355"/>
        <v>0</v>
      </c>
      <c r="AI198" s="97">
        <f t="shared" si="367"/>
        <v>0</v>
      </c>
      <c r="AJ198" s="9"/>
      <c r="AK198" s="9">
        <f>GFA!AJ199</f>
        <v>0</v>
      </c>
      <c r="AL198" s="9">
        <f>GFA!AL199</f>
        <v>0</v>
      </c>
      <c r="AM198" s="97">
        <f t="shared" si="356"/>
        <v>0</v>
      </c>
      <c r="AN198" s="9">
        <f t="shared" si="357"/>
        <v>0</v>
      </c>
      <c r="AO198" s="115">
        <f t="shared" si="358"/>
        <v>0</v>
      </c>
      <c r="AP198" s="116">
        <f t="shared" si="359"/>
        <v>0</v>
      </c>
      <c r="AQ198" s="97">
        <f t="shared" si="368"/>
        <v>0</v>
      </c>
      <c r="AR198" s="9"/>
      <c r="AS198" s="9">
        <f>GFA!AR199</f>
        <v>0</v>
      </c>
      <c r="AT198" s="9">
        <f>GFA!AT199</f>
        <v>0</v>
      </c>
      <c r="AU198" s="97">
        <f t="shared" si="360"/>
        <v>0</v>
      </c>
      <c r="AV198" s="9">
        <f t="shared" si="361"/>
        <v>0</v>
      </c>
      <c r="AW198" s="115">
        <f t="shared" si="362"/>
        <v>0</v>
      </c>
      <c r="AX198" s="116">
        <f t="shared" si="363"/>
        <v>0</v>
      </c>
      <c r="AY198" s="97">
        <f t="shared" si="369"/>
        <v>0</v>
      </c>
    </row>
    <row r="199" spans="2:51" x14ac:dyDescent="0.35">
      <c r="B199" s="7" t="s">
        <v>136</v>
      </c>
      <c r="C199" s="14">
        <v>5.28E-2</v>
      </c>
      <c r="D199" s="9"/>
      <c r="E199" s="9">
        <f>GFA!D200</f>
        <v>345.28897070654801</v>
      </c>
      <c r="F199" s="9">
        <f>GFA!F200</f>
        <v>0</v>
      </c>
      <c r="G199" s="97">
        <f t="shared" si="341"/>
        <v>310.76007363589321</v>
      </c>
      <c r="H199" s="9">
        <v>106.67921859635267</v>
      </c>
      <c r="I199" s="115">
        <f t="shared" si="342"/>
        <v>0.34328482854378845</v>
      </c>
      <c r="J199" s="116">
        <f t="shared" si="343"/>
        <v>204.08085503954055</v>
      </c>
      <c r="K199" s="97">
        <f t="shared" si="364"/>
        <v>18.231257653305736</v>
      </c>
      <c r="L199" s="9"/>
      <c r="M199" s="9">
        <f>GFA!L200</f>
        <v>345.28897070654801</v>
      </c>
      <c r="N199" s="9">
        <f>GFA!N200</f>
        <v>0</v>
      </c>
      <c r="O199" s="97">
        <f t="shared" si="344"/>
        <v>310.76007363589321</v>
      </c>
      <c r="P199" s="9">
        <f t="shared" si="345"/>
        <v>124.9104762496584</v>
      </c>
      <c r="Q199" s="115">
        <f t="shared" si="346"/>
        <v>0.40195149521045509</v>
      </c>
      <c r="R199" s="116">
        <f t="shared" si="347"/>
        <v>185.84959738623479</v>
      </c>
      <c r="S199" s="97">
        <f t="shared" si="365"/>
        <v>18.231257653305736</v>
      </c>
      <c r="T199" s="9"/>
      <c r="U199" s="9">
        <f>GFA!T200</f>
        <v>345.28897070654801</v>
      </c>
      <c r="V199" s="9">
        <f>GFA!V200</f>
        <v>0</v>
      </c>
      <c r="W199" s="97">
        <f t="shared" si="348"/>
        <v>310.76007363589321</v>
      </c>
      <c r="X199" s="9">
        <f t="shared" si="349"/>
        <v>143.14173390296415</v>
      </c>
      <c r="Y199" s="115">
        <f t="shared" si="350"/>
        <v>0.46061816187712179</v>
      </c>
      <c r="Z199" s="116">
        <f t="shared" si="351"/>
        <v>167.61833973292906</v>
      </c>
      <c r="AA199" s="97">
        <f t="shared" si="366"/>
        <v>18.231257653305736</v>
      </c>
      <c r="AB199" s="9"/>
      <c r="AC199" s="9">
        <f>GFA!AB200</f>
        <v>345.28897070654801</v>
      </c>
      <c r="AD199" s="9">
        <f>GFA!AD200</f>
        <v>0</v>
      </c>
      <c r="AE199" s="97">
        <f t="shared" si="352"/>
        <v>310.76007363589321</v>
      </c>
      <c r="AF199" s="9">
        <f t="shared" si="353"/>
        <v>161.37299155626988</v>
      </c>
      <c r="AG199" s="115">
        <f t="shared" si="354"/>
        <v>0.51928482854378843</v>
      </c>
      <c r="AH199" s="116">
        <f t="shared" si="355"/>
        <v>149.38708207962333</v>
      </c>
      <c r="AI199" s="97">
        <f t="shared" si="367"/>
        <v>18.231257653305736</v>
      </c>
      <c r="AJ199" s="9"/>
      <c r="AK199" s="9">
        <f>GFA!AJ200</f>
        <v>345.28897070654801</v>
      </c>
      <c r="AL199" s="9">
        <f>GFA!AL200</f>
        <v>0</v>
      </c>
      <c r="AM199" s="97">
        <f t="shared" si="356"/>
        <v>310.76007363589321</v>
      </c>
      <c r="AN199" s="9">
        <f t="shared" si="357"/>
        <v>179.60424920957561</v>
      </c>
      <c r="AO199" s="115">
        <f t="shared" si="358"/>
        <v>0.57795149521045508</v>
      </c>
      <c r="AP199" s="116">
        <f t="shared" si="359"/>
        <v>131.15582442631759</v>
      </c>
      <c r="AQ199" s="97">
        <f t="shared" si="368"/>
        <v>18.231257653305736</v>
      </c>
      <c r="AR199" s="9"/>
      <c r="AS199" s="9">
        <f>GFA!AR200</f>
        <v>345.28897070654801</v>
      </c>
      <c r="AT199" s="9">
        <f>GFA!AT200</f>
        <v>0</v>
      </c>
      <c r="AU199" s="97">
        <f t="shared" si="360"/>
        <v>310.76007363589321</v>
      </c>
      <c r="AV199" s="9">
        <f t="shared" si="361"/>
        <v>197.83550686288135</v>
      </c>
      <c r="AW199" s="115">
        <f t="shared" si="362"/>
        <v>0.63661816187712172</v>
      </c>
      <c r="AX199" s="116">
        <f t="shared" si="363"/>
        <v>112.92456677301186</v>
      </c>
      <c r="AY199" s="97">
        <f t="shared" si="369"/>
        <v>18.231257653305736</v>
      </c>
    </row>
    <row r="200" spans="2:51" x14ac:dyDescent="0.35">
      <c r="B200" s="7" t="s">
        <v>137</v>
      </c>
      <c r="C200" s="14">
        <v>3.3399999999999999E-2</v>
      </c>
      <c r="D200" s="9"/>
      <c r="E200" s="9">
        <f>GFA!D201</f>
        <v>293.28061659321759</v>
      </c>
      <c r="F200" s="9">
        <f>GFA!F201</f>
        <v>72.315144577935229</v>
      </c>
      <c r="G200" s="97">
        <f t="shared" si="341"/>
        <v>329.03618505403756</v>
      </c>
      <c r="H200" s="9">
        <v>53.308374040168445</v>
      </c>
      <c r="I200" s="115">
        <f t="shared" si="342"/>
        <v>0.16201371296416417</v>
      </c>
      <c r="J200" s="116">
        <f t="shared" si="343"/>
        <v>275.72781101386909</v>
      </c>
      <c r="K200" s="97">
        <f t="shared" si="364"/>
        <v>11.003235508664986</v>
      </c>
      <c r="L200" s="9"/>
      <c r="M200" s="9">
        <f>GFA!L201</f>
        <v>365.59576117115284</v>
      </c>
      <c r="N200" s="9">
        <f>GFA!N201</f>
        <v>0</v>
      </c>
      <c r="O200" s="97">
        <f t="shared" si="344"/>
        <v>329.03618505403756</v>
      </c>
      <c r="P200" s="9">
        <f t="shared" si="345"/>
        <v>64.311609548833431</v>
      </c>
      <c r="Q200" s="115">
        <f t="shared" si="346"/>
        <v>0.19545451980690678</v>
      </c>
      <c r="R200" s="116">
        <f t="shared" si="347"/>
        <v>264.72457550520414</v>
      </c>
      <c r="S200" s="97">
        <f t="shared" si="365"/>
        <v>12.210898423116504</v>
      </c>
      <c r="T200" s="9"/>
      <c r="U200" s="9">
        <f>GFA!T201</f>
        <v>365.59576117115284</v>
      </c>
      <c r="V200" s="9">
        <f>GFA!V201</f>
        <v>8.2995464163445831</v>
      </c>
      <c r="W200" s="97">
        <f t="shared" si="348"/>
        <v>336.50577682874768</v>
      </c>
      <c r="X200" s="9">
        <f t="shared" si="349"/>
        <v>76.522507971949935</v>
      </c>
      <c r="Y200" s="115">
        <f t="shared" si="350"/>
        <v>0.2274032520127976</v>
      </c>
      <c r="Z200" s="116">
        <f t="shared" si="351"/>
        <v>259.98326885679774</v>
      </c>
      <c r="AA200" s="97">
        <f t="shared" si="366"/>
        <v>12.349500848269459</v>
      </c>
      <c r="AB200" s="9"/>
      <c r="AC200" s="9">
        <f>GFA!AB201</f>
        <v>373.89530758749743</v>
      </c>
      <c r="AD200" s="9">
        <f>GFA!AD201</f>
        <v>0</v>
      </c>
      <c r="AE200" s="97">
        <f t="shared" si="352"/>
        <v>336.50577682874768</v>
      </c>
      <c r="AF200" s="9">
        <f t="shared" si="353"/>
        <v>88.872008820219392</v>
      </c>
      <c r="AG200" s="115">
        <f t="shared" si="354"/>
        <v>0.26410247591513875</v>
      </c>
      <c r="AH200" s="116">
        <f t="shared" si="355"/>
        <v>247.63376800852831</v>
      </c>
      <c r="AI200" s="97">
        <f t="shared" si="367"/>
        <v>12.488103273422414</v>
      </c>
      <c r="AJ200" s="9"/>
      <c r="AK200" s="9">
        <f>GFA!AJ201</f>
        <v>373.89530758749743</v>
      </c>
      <c r="AL200" s="9">
        <f>GFA!AL201</f>
        <v>0</v>
      </c>
      <c r="AM200" s="97">
        <f t="shared" si="356"/>
        <v>336.50577682874768</v>
      </c>
      <c r="AN200" s="9">
        <f t="shared" si="357"/>
        <v>101.3601120936418</v>
      </c>
      <c r="AO200" s="115">
        <f t="shared" si="358"/>
        <v>0.30121358702624984</v>
      </c>
      <c r="AP200" s="116">
        <f t="shared" si="359"/>
        <v>235.14566473510587</v>
      </c>
      <c r="AQ200" s="97">
        <f t="shared" si="368"/>
        <v>12.488103273422414</v>
      </c>
      <c r="AR200" s="9"/>
      <c r="AS200" s="9">
        <f>GFA!AR201</f>
        <v>373.89530758749743</v>
      </c>
      <c r="AT200" s="9">
        <f>GFA!AT201</f>
        <v>0</v>
      </c>
      <c r="AU200" s="97">
        <f t="shared" si="360"/>
        <v>336.50577682874768</v>
      </c>
      <c r="AV200" s="9">
        <f t="shared" si="361"/>
        <v>113.84821536706421</v>
      </c>
      <c r="AW200" s="115">
        <f t="shared" si="362"/>
        <v>0.33832469813736094</v>
      </c>
      <c r="AX200" s="116">
        <f t="shared" si="363"/>
        <v>222.65756146168349</v>
      </c>
      <c r="AY200" s="97">
        <f t="shared" si="369"/>
        <v>12.488103273422414</v>
      </c>
    </row>
    <row r="201" spans="2:51" x14ac:dyDescent="0.35">
      <c r="B201" s="7" t="s">
        <v>138</v>
      </c>
      <c r="C201" s="14">
        <v>5.28E-2</v>
      </c>
      <c r="D201" s="9"/>
      <c r="E201" s="9">
        <f>GFA!D202</f>
        <v>5537.9</v>
      </c>
      <c r="F201" s="9">
        <f>GFA!F202</f>
        <v>44.164141989035869</v>
      </c>
      <c r="G201" s="97">
        <f t="shared" si="341"/>
        <v>5023.8577277901322</v>
      </c>
      <c r="H201" s="9">
        <v>1674.62784305934</v>
      </c>
      <c r="I201" s="115">
        <f t="shared" si="342"/>
        <v>0.33333504525733582</v>
      </c>
      <c r="J201" s="116">
        <f t="shared" si="343"/>
        <v>3349.229884730792</v>
      </c>
      <c r="K201" s="97">
        <f t="shared" si="364"/>
        <v>293.56705334851057</v>
      </c>
      <c r="L201" s="9"/>
      <c r="M201" s="9">
        <f>GFA!L202</f>
        <v>5580.7210419890353</v>
      </c>
      <c r="N201" s="9">
        <f>GFA!N202</f>
        <v>1.8768440367499972</v>
      </c>
      <c r="O201" s="97">
        <f t="shared" si="344"/>
        <v>5024.3380974232068</v>
      </c>
      <c r="P201" s="9">
        <f t="shared" si="345"/>
        <v>1968.1948964078506</v>
      </c>
      <c r="Q201" s="115">
        <f t="shared" si="346"/>
        <v>0.39173217610838401</v>
      </c>
      <c r="R201" s="116">
        <f t="shared" si="347"/>
        <v>3056.1432010153562</v>
      </c>
      <c r="S201" s="97">
        <f t="shared" si="365"/>
        <v>294.71161969959127</v>
      </c>
      <c r="T201" s="9"/>
      <c r="U201" s="9">
        <f>GFA!T202</f>
        <v>5582.5978860257856</v>
      </c>
      <c r="V201" s="9">
        <f>GFA!V202</f>
        <v>19.556726882867491</v>
      </c>
      <c r="W201" s="97">
        <f t="shared" si="348"/>
        <v>5041.9391516177875</v>
      </c>
      <c r="X201" s="9">
        <f t="shared" si="349"/>
        <v>2262.9065161074418</v>
      </c>
      <c r="Y201" s="115">
        <f t="shared" si="350"/>
        <v>0.4488167048547882</v>
      </c>
      <c r="Z201" s="116">
        <f t="shared" si="351"/>
        <v>2779.0326355103457</v>
      </c>
      <c r="AA201" s="97">
        <f t="shared" si="366"/>
        <v>295.27746597186916</v>
      </c>
      <c r="AB201" s="9"/>
      <c r="AC201" s="9">
        <f>GFA!AB202</f>
        <v>5602.1546129086528</v>
      </c>
      <c r="AD201" s="9">
        <f>GFA!AD202</f>
        <v>18.87</v>
      </c>
      <c r="AE201" s="97">
        <f t="shared" si="352"/>
        <v>5058.9221516177877</v>
      </c>
      <c r="AF201" s="9">
        <f t="shared" si="353"/>
        <v>2558.1839820793111</v>
      </c>
      <c r="AG201" s="115">
        <f t="shared" si="354"/>
        <v>0.50567767311090805</v>
      </c>
      <c r="AH201" s="116">
        <f t="shared" si="355"/>
        <v>2500.7381695384765</v>
      </c>
      <c r="AI201" s="97">
        <f t="shared" si="367"/>
        <v>296.29193156157686</v>
      </c>
      <c r="AJ201" s="9"/>
      <c r="AK201" s="9">
        <f>GFA!AJ202</f>
        <v>5621.0246129086527</v>
      </c>
      <c r="AL201" s="9">
        <f>GFA!AL202</f>
        <v>7.8900000000000006</v>
      </c>
      <c r="AM201" s="97">
        <f t="shared" si="356"/>
        <v>5066.0231516177882</v>
      </c>
      <c r="AN201" s="9">
        <f t="shared" si="357"/>
        <v>2854.4759136408879</v>
      </c>
      <c r="AO201" s="115">
        <f t="shared" si="358"/>
        <v>0.563454968169527</v>
      </c>
      <c r="AP201" s="116">
        <f t="shared" si="359"/>
        <v>2211.5472379769003</v>
      </c>
      <c r="AQ201" s="97">
        <f t="shared" si="368"/>
        <v>296.99839556157684</v>
      </c>
      <c r="AR201" s="9"/>
      <c r="AS201" s="9">
        <f>GFA!AR202</f>
        <v>5628.914612908653</v>
      </c>
      <c r="AT201" s="9">
        <f>GFA!AT202</f>
        <v>481.48</v>
      </c>
      <c r="AU201" s="97">
        <f t="shared" si="360"/>
        <v>5499.3551516177877</v>
      </c>
      <c r="AV201" s="9">
        <f t="shared" si="361"/>
        <v>3151.4743092024646</v>
      </c>
      <c r="AW201" s="115">
        <f t="shared" si="362"/>
        <v>0.5730625177527171</v>
      </c>
      <c r="AX201" s="116">
        <f t="shared" si="363"/>
        <v>2347.8808424153231</v>
      </c>
      <c r="AY201" s="97">
        <f t="shared" si="369"/>
        <v>309.91776356157686</v>
      </c>
    </row>
    <row r="202" spans="2:51" x14ac:dyDescent="0.35">
      <c r="B202" s="7" t="s">
        <v>139</v>
      </c>
      <c r="C202" s="14">
        <v>0.18</v>
      </c>
      <c r="D202" s="9"/>
      <c r="E202" s="9">
        <f>GFA!D203</f>
        <v>0</v>
      </c>
      <c r="F202" s="9">
        <f>GFA!F203</f>
        <v>6.3731278147497559</v>
      </c>
      <c r="G202" s="97">
        <f t="shared" si="341"/>
        <v>5.7358150332747808</v>
      </c>
      <c r="H202" s="9">
        <v>0</v>
      </c>
      <c r="I202" s="115">
        <f t="shared" si="342"/>
        <v>0</v>
      </c>
      <c r="J202" s="116">
        <f t="shared" si="343"/>
        <v>5.7358150332747808</v>
      </c>
      <c r="K202" s="97">
        <f t="shared" si="364"/>
        <v>0.57358150332747804</v>
      </c>
      <c r="L202" s="9"/>
      <c r="M202" s="9">
        <f>GFA!L203</f>
        <v>2.438549914749756</v>
      </c>
      <c r="N202" s="9">
        <f>GFA!N203</f>
        <v>0</v>
      </c>
      <c r="O202" s="97">
        <f t="shared" si="344"/>
        <v>2.1946949232747803</v>
      </c>
      <c r="P202" s="9">
        <f t="shared" si="345"/>
        <v>0.57358150332747804</v>
      </c>
      <c r="Q202" s="115">
        <f t="shared" si="346"/>
        <v>0.26134908193600648</v>
      </c>
      <c r="R202" s="116">
        <f t="shared" si="347"/>
        <v>1.6211134199473023</v>
      </c>
      <c r="S202" s="97">
        <f t="shared" si="365"/>
        <v>0.43893898465495607</v>
      </c>
      <c r="T202" s="9"/>
      <c r="U202" s="9">
        <f>GFA!T203</f>
        <v>2.438549914749756</v>
      </c>
      <c r="V202" s="9">
        <f>GFA!V203</f>
        <v>6.3225472998890639</v>
      </c>
      <c r="W202" s="97">
        <f t="shared" si="348"/>
        <v>7.884987493174938</v>
      </c>
      <c r="X202" s="9">
        <f t="shared" si="349"/>
        <v>1.0125204879824341</v>
      </c>
      <c r="Y202" s="115">
        <f t="shared" si="350"/>
        <v>0.12841117235237828</v>
      </c>
      <c r="Z202" s="116">
        <f t="shared" si="351"/>
        <v>6.8724670051925036</v>
      </c>
      <c r="AA202" s="97">
        <f t="shared" si="366"/>
        <v>1.0079682416449718</v>
      </c>
      <c r="AB202" s="9"/>
      <c r="AC202" s="9">
        <f>GFA!AB203</f>
        <v>4.9693332146388194</v>
      </c>
      <c r="AD202" s="9">
        <f>GFA!AD203</f>
        <v>0</v>
      </c>
      <c r="AE202" s="97">
        <f t="shared" si="352"/>
        <v>4.4723998931749378</v>
      </c>
      <c r="AF202" s="9">
        <f t="shared" si="353"/>
        <v>2.0204887296274059</v>
      </c>
      <c r="AG202" s="115">
        <f t="shared" si="354"/>
        <v>0.45176835209006089</v>
      </c>
      <c r="AH202" s="116">
        <f t="shared" si="355"/>
        <v>2.4519111635475319</v>
      </c>
      <c r="AI202" s="97">
        <f t="shared" si="367"/>
        <v>0.8944799786349874</v>
      </c>
      <c r="AJ202" s="9"/>
      <c r="AK202" s="9">
        <f>GFA!AJ203</f>
        <v>4.9693332146388194</v>
      </c>
      <c r="AL202" s="9">
        <f>GFA!AL203</f>
        <v>0</v>
      </c>
      <c r="AM202" s="97">
        <f t="shared" si="356"/>
        <v>4.4723998931749378</v>
      </c>
      <c r="AN202" s="9">
        <f t="shared" si="357"/>
        <v>2.9149687082623932</v>
      </c>
      <c r="AO202" s="115">
        <f t="shared" si="358"/>
        <v>0.65176835209006079</v>
      </c>
      <c r="AP202" s="116">
        <f t="shared" si="359"/>
        <v>1.5574311849125446</v>
      </c>
      <c r="AQ202" s="97">
        <f t="shared" si="368"/>
        <v>0.8944799786349874</v>
      </c>
      <c r="AR202" s="9"/>
      <c r="AS202" s="9">
        <f>GFA!AR203</f>
        <v>4.9693332146388194</v>
      </c>
      <c r="AT202" s="9">
        <f>GFA!AT203</f>
        <v>0</v>
      </c>
      <c r="AU202" s="97">
        <f t="shared" si="360"/>
        <v>4.4723998931749378</v>
      </c>
      <c r="AV202" s="9">
        <f t="shared" si="361"/>
        <v>3.8094486868973805</v>
      </c>
      <c r="AW202" s="115">
        <f t="shared" si="362"/>
        <v>0.85176835209006074</v>
      </c>
      <c r="AX202" s="116">
        <f t="shared" si="363"/>
        <v>0.66295120627755733</v>
      </c>
      <c r="AY202" s="97">
        <f t="shared" si="369"/>
        <v>4.665384984360009E-2</v>
      </c>
    </row>
    <row r="203" spans="2:51" x14ac:dyDescent="0.35">
      <c r="B203" s="7" t="s">
        <v>140</v>
      </c>
      <c r="C203" s="14">
        <v>5.28E-2</v>
      </c>
      <c r="D203" s="9"/>
      <c r="E203" s="9">
        <f>GFA!D204</f>
        <v>0</v>
      </c>
      <c r="F203" s="9">
        <f>GFA!F204</f>
        <v>0</v>
      </c>
      <c r="G203" s="97">
        <f t="shared" si="341"/>
        <v>0</v>
      </c>
      <c r="H203" s="9">
        <v>0</v>
      </c>
      <c r="I203" s="115">
        <f t="shared" si="342"/>
        <v>0</v>
      </c>
      <c r="J203" s="116">
        <f t="shared" si="343"/>
        <v>0</v>
      </c>
      <c r="K203" s="97">
        <f t="shared" si="364"/>
        <v>0</v>
      </c>
      <c r="L203" s="9"/>
      <c r="M203" s="9">
        <f>GFA!L204</f>
        <v>0</v>
      </c>
      <c r="N203" s="9">
        <f>GFA!N204</f>
        <v>0.10170083185564693</v>
      </c>
      <c r="O203" s="97">
        <f t="shared" si="344"/>
        <v>9.1530748670082249E-2</v>
      </c>
      <c r="P203" s="9">
        <f t="shared" si="345"/>
        <v>0</v>
      </c>
      <c r="Q203" s="115">
        <f t="shared" si="346"/>
        <v>0</v>
      </c>
      <c r="R203" s="116">
        <f t="shared" si="347"/>
        <v>9.1530748670082249E-2</v>
      </c>
      <c r="S203" s="97">
        <f t="shared" si="365"/>
        <v>2.6849019609890791E-3</v>
      </c>
      <c r="T203" s="9"/>
      <c r="U203" s="9">
        <f>GFA!T204</f>
        <v>0.10170083185564693</v>
      </c>
      <c r="V203" s="9">
        <f>GFA!V204</f>
        <v>0</v>
      </c>
      <c r="W203" s="97">
        <f t="shared" si="348"/>
        <v>9.1530748670082249E-2</v>
      </c>
      <c r="X203" s="9">
        <f t="shared" si="349"/>
        <v>2.6849019609890791E-3</v>
      </c>
      <c r="Y203" s="115">
        <f t="shared" si="350"/>
        <v>2.9333333333333329E-2</v>
      </c>
      <c r="Z203" s="116">
        <f t="shared" si="351"/>
        <v>8.8845846709093165E-2</v>
      </c>
      <c r="AA203" s="97">
        <f t="shared" si="366"/>
        <v>5.3698039219781581E-3</v>
      </c>
      <c r="AB203" s="9"/>
      <c r="AC203" s="9">
        <f>GFA!AB204</f>
        <v>0.10170083185564693</v>
      </c>
      <c r="AD203" s="9">
        <f>GFA!AD204</f>
        <v>0</v>
      </c>
      <c r="AE203" s="97">
        <f t="shared" si="352"/>
        <v>9.1530748670082249E-2</v>
      </c>
      <c r="AF203" s="9">
        <f t="shared" si="353"/>
        <v>8.0547058829672363E-3</v>
      </c>
      <c r="AG203" s="115">
        <f t="shared" si="354"/>
        <v>8.7999999999999981E-2</v>
      </c>
      <c r="AH203" s="116">
        <f t="shared" si="355"/>
        <v>8.3476042787115012E-2</v>
      </c>
      <c r="AI203" s="97">
        <f t="shared" si="367"/>
        <v>5.3698039219781581E-3</v>
      </c>
      <c r="AJ203" s="9"/>
      <c r="AK203" s="9">
        <f>GFA!AJ204</f>
        <v>0.10170083185564693</v>
      </c>
      <c r="AL203" s="9">
        <f>GFA!AL204</f>
        <v>0</v>
      </c>
      <c r="AM203" s="97">
        <f t="shared" si="356"/>
        <v>9.1530748670082249E-2</v>
      </c>
      <c r="AN203" s="9">
        <f t="shared" si="357"/>
        <v>1.3424509804945394E-2</v>
      </c>
      <c r="AO203" s="115">
        <f t="shared" si="358"/>
        <v>0.14666666666666664</v>
      </c>
      <c r="AP203" s="116">
        <f t="shared" si="359"/>
        <v>7.8106238865136859E-2</v>
      </c>
      <c r="AQ203" s="97">
        <f t="shared" si="368"/>
        <v>5.3698039219781581E-3</v>
      </c>
      <c r="AR203" s="9"/>
      <c r="AS203" s="9">
        <f>GFA!AR204</f>
        <v>0.10170083185564693</v>
      </c>
      <c r="AT203" s="9">
        <f>GFA!AT204</f>
        <v>0</v>
      </c>
      <c r="AU203" s="97">
        <f t="shared" si="360"/>
        <v>9.1530748670082249E-2</v>
      </c>
      <c r="AV203" s="9">
        <f t="shared" si="361"/>
        <v>1.8794313726923553E-2</v>
      </c>
      <c r="AW203" s="115">
        <f t="shared" si="362"/>
        <v>0.20533333333333331</v>
      </c>
      <c r="AX203" s="116">
        <f t="shared" si="363"/>
        <v>7.2736434943158693E-2</v>
      </c>
      <c r="AY203" s="97">
        <f t="shared" si="369"/>
        <v>5.3698039219781581E-3</v>
      </c>
    </row>
    <row r="204" spans="2:51" x14ac:dyDescent="0.35">
      <c r="B204" s="7" t="s">
        <v>141</v>
      </c>
      <c r="C204" s="14">
        <v>5.28E-2</v>
      </c>
      <c r="D204" s="9"/>
      <c r="E204" s="9">
        <f>GFA!D205</f>
        <v>48.460082443821648</v>
      </c>
      <c r="F204" s="9">
        <f>GFA!F205</f>
        <v>0</v>
      </c>
      <c r="G204" s="97">
        <f t="shared" si="341"/>
        <v>43.614074199439486</v>
      </c>
      <c r="H204" s="9">
        <v>15.260796760204739</v>
      </c>
      <c r="I204" s="115">
        <f t="shared" si="342"/>
        <v>0.3499053239195174</v>
      </c>
      <c r="J204" s="116">
        <f t="shared" si="343"/>
        <v>28.353277439234745</v>
      </c>
      <c r="K204" s="97">
        <f t="shared" si="364"/>
        <v>2.5586923530337828</v>
      </c>
      <c r="L204" s="9"/>
      <c r="M204" s="9">
        <f>GFA!L205</f>
        <v>48.460082443821648</v>
      </c>
      <c r="N204" s="9">
        <f>GFA!N205</f>
        <v>0</v>
      </c>
      <c r="O204" s="97">
        <f t="shared" si="344"/>
        <v>43.614074199439486</v>
      </c>
      <c r="P204" s="9">
        <f t="shared" si="345"/>
        <v>17.819489113238522</v>
      </c>
      <c r="Q204" s="115">
        <f t="shared" si="346"/>
        <v>0.40857199058618404</v>
      </c>
      <c r="R204" s="116">
        <f t="shared" si="347"/>
        <v>25.794585086200964</v>
      </c>
      <c r="S204" s="97">
        <f t="shared" si="365"/>
        <v>2.5586923530337828</v>
      </c>
      <c r="T204" s="9"/>
      <c r="U204" s="9">
        <f>GFA!T205</f>
        <v>48.460082443821648</v>
      </c>
      <c r="V204" s="9">
        <f>GFA!V205</f>
        <v>0</v>
      </c>
      <c r="W204" s="97">
        <f t="shared" si="348"/>
        <v>43.614074199439486</v>
      </c>
      <c r="X204" s="9">
        <f t="shared" si="349"/>
        <v>20.378181466272306</v>
      </c>
      <c r="Y204" s="115">
        <f t="shared" si="350"/>
        <v>0.46723865725285074</v>
      </c>
      <c r="Z204" s="116">
        <f t="shared" si="351"/>
        <v>23.23589273316718</v>
      </c>
      <c r="AA204" s="97">
        <f t="shared" si="366"/>
        <v>2.5586923530337828</v>
      </c>
      <c r="AB204" s="9"/>
      <c r="AC204" s="9">
        <f>GFA!AB205</f>
        <v>48.460082443821648</v>
      </c>
      <c r="AD204" s="9">
        <f>GFA!AD205</f>
        <v>0</v>
      </c>
      <c r="AE204" s="97">
        <f t="shared" si="352"/>
        <v>43.614074199439486</v>
      </c>
      <c r="AF204" s="9">
        <f t="shared" si="353"/>
        <v>22.93687381930609</v>
      </c>
      <c r="AG204" s="115">
        <f t="shared" si="354"/>
        <v>0.52590532391951739</v>
      </c>
      <c r="AH204" s="116">
        <f t="shared" si="355"/>
        <v>20.677200380133396</v>
      </c>
      <c r="AI204" s="97">
        <f t="shared" si="367"/>
        <v>2.5586923530337828</v>
      </c>
      <c r="AJ204" s="9"/>
      <c r="AK204" s="9">
        <f>GFA!AJ205</f>
        <v>48.460082443821648</v>
      </c>
      <c r="AL204" s="9">
        <f>GFA!AL205</f>
        <v>0</v>
      </c>
      <c r="AM204" s="97">
        <f t="shared" si="356"/>
        <v>43.614074199439486</v>
      </c>
      <c r="AN204" s="9">
        <f t="shared" si="357"/>
        <v>25.495566172339874</v>
      </c>
      <c r="AO204" s="115">
        <f t="shared" si="358"/>
        <v>0.58457199058618414</v>
      </c>
      <c r="AP204" s="116">
        <f t="shared" si="359"/>
        <v>18.118508027099612</v>
      </c>
      <c r="AQ204" s="97">
        <f t="shared" si="368"/>
        <v>2.5586923530337828</v>
      </c>
      <c r="AR204" s="9"/>
      <c r="AS204" s="9">
        <f>GFA!AR205</f>
        <v>48.460082443821648</v>
      </c>
      <c r="AT204" s="9">
        <f>GFA!AT205</f>
        <v>0</v>
      </c>
      <c r="AU204" s="97">
        <f t="shared" si="360"/>
        <v>43.614074199439486</v>
      </c>
      <c r="AV204" s="9">
        <f t="shared" si="361"/>
        <v>28.054258525373658</v>
      </c>
      <c r="AW204" s="115">
        <f t="shared" si="362"/>
        <v>0.64323865725285079</v>
      </c>
      <c r="AX204" s="116">
        <f t="shared" si="363"/>
        <v>15.559815674065828</v>
      </c>
      <c r="AY204" s="97">
        <f t="shared" si="369"/>
        <v>2.5586923530337828</v>
      </c>
    </row>
    <row r="205" spans="2:51" x14ac:dyDescent="0.35">
      <c r="B205" s="7" t="s">
        <v>142</v>
      </c>
      <c r="C205" s="14">
        <v>9.5000000000000001E-2</v>
      </c>
      <c r="D205" s="9"/>
      <c r="E205" s="9">
        <f>GFA!D206</f>
        <v>1.5370784879999999</v>
      </c>
      <c r="F205" s="9">
        <f>GFA!F206</f>
        <v>0</v>
      </c>
      <c r="G205" s="97">
        <f t="shared" si="341"/>
        <v>1.3833706392</v>
      </c>
      <c r="H205" s="9">
        <v>0.51107859726000004</v>
      </c>
      <c r="I205" s="115">
        <f t="shared" si="342"/>
        <v>0.36944444444444446</v>
      </c>
      <c r="J205" s="116">
        <f t="shared" si="343"/>
        <v>0.87229204193999998</v>
      </c>
      <c r="K205" s="97">
        <f t="shared" si="364"/>
        <v>0.14602245636</v>
      </c>
      <c r="L205" s="9"/>
      <c r="M205" s="9">
        <f>GFA!L206</f>
        <v>1.5370784879999999</v>
      </c>
      <c r="N205" s="9">
        <f>GFA!N206</f>
        <v>0</v>
      </c>
      <c r="O205" s="97">
        <f t="shared" si="344"/>
        <v>1.3833706392</v>
      </c>
      <c r="P205" s="9">
        <f t="shared" si="345"/>
        <v>0.65710105362000004</v>
      </c>
      <c r="Q205" s="115">
        <f t="shared" si="346"/>
        <v>0.47500000000000003</v>
      </c>
      <c r="R205" s="116">
        <f t="shared" si="347"/>
        <v>0.72626958557999999</v>
      </c>
      <c r="S205" s="97">
        <f t="shared" si="365"/>
        <v>0.14602245636</v>
      </c>
      <c r="T205" s="9"/>
      <c r="U205" s="9">
        <f>GFA!T206</f>
        <v>1.5370784879999999</v>
      </c>
      <c r="V205" s="9">
        <f>GFA!V206</f>
        <v>1.7764479361744512</v>
      </c>
      <c r="W205" s="97">
        <f t="shared" si="348"/>
        <v>2.9821737817570062</v>
      </c>
      <c r="X205" s="9">
        <f t="shared" si="349"/>
        <v>0.80312350998000004</v>
      </c>
      <c r="Y205" s="115">
        <f t="shared" si="350"/>
        <v>0.26930808489196228</v>
      </c>
      <c r="Z205" s="116">
        <f t="shared" si="351"/>
        <v>2.1790502717770064</v>
      </c>
      <c r="AA205" s="97">
        <f t="shared" si="366"/>
        <v>0.23040373332828643</v>
      </c>
      <c r="AB205" s="9"/>
      <c r="AC205" s="9">
        <f>GFA!AB206</f>
        <v>3.3135264241744511</v>
      </c>
      <c r="AD205" s="9">
        <f>GFA!AD206</f>
        <v>0</v>
      </c>
      <c r="AE205" s="97">
        <f t="shared" si="352"/>
        <v>2.9821737817570062</v>
      </c>
      <c r="AF205" s="9">
        <f t="shared" si="353"/>
        <v>1.0335272433082865</v>
      </c>
      <c r="AG205" s="115">
        <f t="shared" si="354"/>
        <v>0.34656841584173664</v>
      </c>
      <c r="AH205" s="116">
        <f t="shared" si="355"/>
        <v>1.9486465384487197</v>
      </c>
      <c r="AI205" s="97">
        <f t="shared" si="367"/>
        <v>0.31478501029657285</v>
      </c>
      <c r="AJ205" s="9"/>
      <c r="AK205" s="9">
        <f>GFA!AJ206</f>
        <v>3.3135264241744511</v>
      </c>
      <c r="AL205" s="9">
        <f>GFA!AL206</f>
        <v>0</v>
      </c>
      <c r="AM205" s="97">
        <f t="shared" si="356"/>
        <v>2.9821737817570062</v>
      </c>
      <c r="AN205" s="9">
        <f t="shared" si="357"/>
        <v>1.3483122536048593</v>
      </c>
      <c r="AO205" s="115">
        <f t="shared" si="358"/>
        <v>0.45212397139729216</v>
      </c>
      <c r="AP205" s="116">
        <f t="shared" si="359"/>
        <v>1.6338615281521469</v>
      </c>
      <c r="AQ205" s="97">
        <f t="shared" si="368"/>
        <v>0.31478501029657285</v>
      </c>
      <c r="AR205" s="9"/>
      <c r="AS205" s="9">
        <f>GFA!AR206</f>
        <v>3.3135264241744511</v>
      </c>
      <c r="AT205" s="9">
        <f>GFA!AT206</f>
        <v>0</v>
      </c>
      <c r="AU205" s="97">
        <f t="shared" si="360"/>
        <v>2.9821737817570062</v>
      </c>
      <c r="AV205" s="9">
        <f t="shared" si="361"/>
        <v>1.6630972639014321</v>
      </c>
      <c r="AW205" s="115">
        <f t="shared" si="362"/>
        <v>0.55767952695284773</v>
      </c>
      <c r="AX205" s="116">
        <f t="shared" si="363"/>
        <v>1.3190765178555741</v>
      </c>
      <c r="AY205" s="97">
        <f t="shared" si="369"/>
        <v>0.31478501029657285</v>
      </c>
    </row>
    <row r="206" spans="2:51" x14ac:dyDescent="0.35">
      <c r="B206" s="7" t="s">
        <v>143</v>
      </c>
      <c r="C206" s="14">
        <v>6.3299999999999995E-2</v>
      </c>
      <c r="D206" s="9"/>
      <c r="E206" s="9">
        <f>GFA!D207</f>
        <v>1.803334410577375</v>
      </c>
      <c r="F206" s="9">
        <f>GFA!F207</f>
        <v>0.2133074458484496</v>
      </c>
      <c r="G206" s="97">
        <f t="shared" si="341"/>
        <v>1.8149776707832419</v>
      </c>
      <c r="H206" s="9">
        <v>0.49045403462968934</v>
      </c>
      <c r="I206" s="115">
        <f t="shared" si="342"/>
        <v>0.27022593309262977</v>
      </c>
      <c r="J206" s="116">
        <f t="shared" si="343"/>
        <v>1.3245236361535526</v>
      </c>
      <c r="K206" s="97">
        <f t="shared" si="364"/>
        <v>0.12090224885065126</v>
      </c>
      <c r="L206" s="9"/>
      <c r="M206" s="9">
        <f>GFA!L207</f>
        <v>2.0166418564258244</v>
      </c>
      <c r="N206" s="9">
        <f>GFA!N207</f>
        <v>0.23401868655434166</v>
      </c>
      <c r="O206" s="97">
        <f t="shared" si="344"/>
        <v>2.0255944886821493</v>
      </c>
      <c r="P206" s="9">
        <f t="shared" si="345"/>
        <v>0.61135628348034055</v>
      </c>
      <c r="Q206" s="115">
        <f t="shared" si="346"/>
        <v>0.30181573207087892</v>
      </c>
      <c r="R206" s="116">
        <f t="shared" si="347"/>
        <v>1.4142382052018088</v>
      </c>
      <c r="S206" s="97">
        <f t="shared" si="365"/>
        <v>0.13506012094119957</v>
      </c>
      <c r="T206" s="9"/>
      <c r="U206" s="9">
        <f>GFA!T207</f>
        <v>2.250660542980166</v>
      </c>
      <c r="V206" s="9">
        <f>GFA!V207</f>
        <v>0.57867274036049099</v>
      </c>
      <c r="W206" s="97">
        <f t="shared" si="348"/>
        <v>2.5463999550065912</v>
      </c>
      <c r="X206" s="9">
        <f t="shared" si="349"/>
        <v>0.74641640442154011</v>
      </c>
      <c r="Y206" s="115">
        <f t="shared" si="350"/>
        <v>0.29312614577846552</v>
      </c>
      <c r="Z206" s="116">
        <f t="shared" si="351"/>
        <v>1.799983550585051</v>
      </c>
      <c r="AA206" s="97">
        <f t="shared" si="366"/>
        <v>0.16078180460305405</v>
      </c>
      <c r="AB206" s="9"/>
      <c r="AC206" s="9">
        <f>GFA!AB207</f>
        <v>2.8293332833406568</v>
      </c>
      <c r="AD206" s="9">
        <f>GFA!AD207</f>
        <v>0</v>
      </c>
      <c r="AE206" s="97">
        <f t="shared" si="352"/>
        <v>2.5463999550065912</v>
      </c>
      <c r="AF206" s="9">
        <f t="shared" si="353"/>
        <v>0.90719820902459414</v>
      </c>
      <c r="AG206" s="115">
        <f t="shared" si="354"/>
        <v>0.35626697496632886</v>
      </c>
      <c r="AH206" s="116">
        <f t="shared" si="355"/>
        <v>1.639201745981997</v>
      </c>
      <c r="AI206" s="97">
        <f t="shared" si="367"/>
        <v>0.17909679683546356</v>
      </c>
      <c r="AJ206" s="9"/>
      <c r="AK206" s="9">
        <f>GFA!AJ207</f>
        <v>2.8293332833406568</v>
      </c>
      <c r="AL206" s="9">
        <f>GFA!AL207</f>
        <v>0</v>
      </c>
      <c r="AM206" s="97">
        <f t="shared" si="356"/>
        <v>2.5463999550065912</v>
      </c>
      <c r="AN206" s="9">
        <f t="shared" si="357"/>
        <v>1.0862950058600578</v>
      </c>
      <c r="AO206" s="115">
        <f t="shared" si="358"/>
        <v>0.42660030829966222</v>
      </c>
      <c r="AP206" s="116">
        <f t="shared" si="359"/>
        <v>1.4601049491465334</v>
      </c>
      <c r="AQ206" s="97">
        <f t="shared" si="368"/>
        <v>0.17909679683546356</v>
      </c>
      <c r="AR206" s="9"/>
      <c r="AS206" s="9">
        <f>GFA!AR207</f>
        <v>2.8293332833406568</v>
      </c>
      <c r="AT206" s="9">
        <f>GFA!AT207</f>
        <v>0</v>
      </c>
      <c r="AU206" s="97">
        <f t="shared" si="360"/>
        <v>2.5463999550065912</v>
      </c>
      <c r="AV206" s="9">
        <f t="shared" si="361"/>
        <v>1.2653918026955213</v>
      </c>
      <c r="AW206" s="115">
        <f t="shared" si="362"/>
        <v>0.49693364163299553</v>
      </c>
      <c r="AX206" s="116">
        <f t="shared" si="363"/>
        <v>1.2810081523110699</v>
      </c>
      <c r="AY206" s="97">
        <f t="shared" si="369"/>
        <v>0.17909679683546356</v>
      </c>
    </row>
    <row r="207" spans="2:51" x14ac:dyDescent="0.35">
      <c r="B207" s="7" t="s">
        <v>144</v>
      </c>
      <c r="C207" s="14">
        <v>6.3299999999999995E-2</v>
      </c>
      <c r="D207" s="9"/>
      <c r="E207" s="9">
        <f>GFA!D208</f>
        <v>0.38128723191616498</v>
      </c>
      <c r="F207" s="9">
        <f>GFA!F208</f>
        <v>0.22993410800303074</v>
      </c>
      <c r="G207" s="97">
        <f t="shared" si="341"/>
        <v>0.55009920592727612</v>
      </c>
      <c r="H207" s="9">
        <v>1.771718389541959E-2</v>
      </c>
      <c r="I207" s="115">
        <f t="shared" si="342"/>
        <v>3.2207252263806808E-2</v>
      </c>
      <c r="J207" s="116">
        <f t="shared" si="343"/>
        <v>0.53238202203185658</v>
      </c>
      <c r="K207" s="97">
        <f t="shared" si="364"/>
        <v>3.1412896298589163E-2</v>
      </c>
      <c r="L207" s="9"/>
      <c r="M207" s="9">
        <f>GFA!L208</f>
        <v>0.61122133991919569</v>
      </c>
      <c r="N207" s="9">
        <f>GFA!N208</f>
        <v>0.44743644484001466</v>
      </c>
      <c r="O207" s="97">
        <f t="shared" si="344"/>
        <v>0.95279200628328919</v>
      </c>
      <c r="P207" s="9">
        <f t="shared" si="345"/>
        <v>4.9130080194008753E-2</v>
      </c>
      <c r="Q207" s="115">
        <f t="shared" si="346"/>
        <v>5.1564328699249325E-2</v>
      </c>
      <c r="R207" s="116">
        <f t="shared" si="347"/>
        <v>0.90366192608928042</v>
      </c>
      <c r="S207" s="97">
        <f t="shared" si="365"/>
        <v>5.285167429607155E-2</v>
      </c>
      <c r="T207" s="9"/>
      <c r="U207" s="9">
        <f>GFA!T208</f>
        <v>1.0586577847592102</v>
      </c>
      <c r="V207" s="9">
        <f>GFA!V208</f>
        <v>3.846677262255286E-2</v>
      </c>
      <c r="W207" s="97">
        <f t="shared" si="348"/>
        <v>0.98741210164358684</v>
      </c>
      <c r="X207" s="9">
        <f t="shared" si="349"/>
        <v>0.1019817544900803</v>
      </c>
      <c r="Y207" s="115">
        <f t="shared" si="350"/>
        <v>0.10328185599541226</v>
      </c>
      <c r="Z207" s="116">
        <f t="shared" si="351"/>
        <v>0.88543034715350655</v>
      </c>
      <c r="AA207" s="97">
        <f t="shared" si="366"/>
        <v>6.82305111287618E-2</v>
      </c>
      <c r="AB207" s="9"/>
      <c r="AC207" s="9">
        <f>GFA!AB208</f>
        <v>1.0971245573817632</v>
      </c>
      <c r="AD207" s="9">
        <f>GFA!AD208</f>
        <v>0</v>
      </c>
      <c r="AE207" s="97">
        <f t="shared" si="352"/>
        <v>0.98741210164358684</v>
      </c>
      <c r="AF207" s="9">
        <f t="shared" si="353"/>
        <v>0.17021226561884212</v>
      </c>
      <c r="AG207" s="115">
        <f t="shared" si="354"/>
        <v>0.1723821951700987</v>
      </c>
      <c r="AH207" s="116">
        <f t="shared" si="355"/>
        <v>0.81719983602474477</v>
      </c>
      <c r="AI207" s="97">
        <f t="shared" si="367"/>
        <v>6.9447984482265607E-2</v>
      </c>
      <c r="AJ207" s="9"/>
      <c r="AK207" s="9">
        <f>GFA!AJ208</f>
        <v>1.0971245573817632</v>
      </c>
      <c r="AL207" s="9">
        <f>GFA!AL208</f>
        <v>0</v>
      </c>
      <c r="AM207" s="97">
        <f t="shared" si="356"/>
        <v>0.98741210164358684</v>
      </c>
      <c r="AN207" s="9">
        <f t="shared" si="357"/>
        <v>0.23966025010110772</v>
      </c>
      <c r="AO207" s="115">
        <f t="shared" si="358"/>
        <v>0.24271552850343203</v>
      </c>
      <c r="AP207" s="116">
        <f t="shared" si="359"/>
        <v>0.74775185154247914</v>
      </c>
      <c r="AQ207" s="97">
        <f t="shared" si="368"/>
        <v>6.9447984482265607E-2</v>
      </c>
      <c r="AR207" s="9"/>
      <c r="AS207" s="9">
        <f>GFA!AR208</f>
        <v>1.0971245573817632</v>
      </c>
      <c r="AT207" s="9">
        <f>GFA!AT208</f>
        <v>0</v>
      </c>
      <c r="AU207" s="97">
        <f t="shared" si="360"/>
        <v>0.98741210164358684</v>
      </c>
      <c r="AV207" s="9">
        <f t="shared" si="361"/>
        <v>0.30910823458337333</v>
      </c>
      <c r="AW207" s="115">
        <f t="shared" si="362"/>
        <v>0.31304886183676534</v>
      </c>
      <c r="AX207" s="116">
        <f t="shared" si="363"/>
        <v>0.67830386706021351</v>
      </c>
      <c r="AY207" s="97">
        <f t="shared" si="369"/>
        <v>6.9447984482265607E-2</v>
      </c>
    </row>
    <row r="208" spans="2:51" x14ac:dyDescent="0.35">
      <c r="B208" s="7" t="s">
        <v>145</v>
      </c>
      <c r="C208" s="14">
        <v>6.3299999999999995E-2</v>
      </c>
      <c r="D208" s="9"/>
      <c r="E208" s="9">
        <f>GFA!D209</f>
        <v>0</v>
      </c>
      <c r="F208" s="9">
        <f>GFA!F209</f>
        <v>0</v>
      </c>
      <c r="G208" s="97">
        <f t="shared" si="341"/>
        <v>0</v>
      </c>
      <c r="H208" s="9">
        <v>0</v>
      </c>
      <c r="I208" s="115">
        <f t="shared" si="342"/>
        <v>0</v>
      </c>
      <c r="J208" s="116">
        <f t="shared" si="343"/>
        <v>0</v>
      </c>
      <c r="K208" s="97">
        <f t="shared" si="364"/>
        <v>0</v>
      </c>
      <c r="L208" s="9"/>
      <c r="M208" s="9">
        <f>GFA!L209</f>
        <v>0</v>
      </c>
      <c r="N208" s="9">
        <f>GFA!N209</f>
        <v>0</v>
      </c>
      <c r="O208" s="97">
        <f t="shared" si="344"/>
        <v>0</v>
      </c>
      <c r="P208" s="9">
        <f t="shared" si="345"/>
        <v>0</v>
      </c>
      <c r="Q208" s="115">
        <f t="shared" si="346"/>
        <v>0</v>
      </c>
      <c r="R208" s="116">
        <f t="shared" si="347"/>
        <v>0</v>
      </c>
      <c r="S208" s="97">
        <f t="shared" si="365"/>
        <v>0</v>
      </c>
      <c r="T208" s="9"/>
      <c r="U208" s="9">
        <f>GFA!T209</f>
        <v>0</v>
      </c>
      <c r="V208" s="9">
        <f>GFA!V209</f>
        <v>0</v>
      </c>
      <c r="W208" s="97">
        <f t="shared" si="348"/>
        <v>0</v>
      </c>
      <c r="X208" s="9">
        <f t="shared" si="349"/>
        <v>0</v>
      </c>
      <c r="Y208" s="115">
        <f t="shared" si="350"/>
        <v>0</v>
      </c>
      <c r="Z208" s="116">
        <f t="shared" si="351"/>
        <v>0</v>
      </c>
      <c r="AA208" s="97">
        <f t="shared" si="366"/>
        <v>0</v>
      </c>
      <c r="AB208" s="9"/>
      <c r="AC208" s="9">
        <f>GFA!AB209</f>
        <v>0</v>
      </c>
      <c r="AD208" s="9">
        <f>GFA!AD209</f>
        <v>0</v>
      </c>
      <c r="AE208" s="97">
        <f t="shared" si="352"/>
        <v>0</v>
      </c>
      <c r="AF208" s="9">
        <f t="shared" si="353"/>
        <v>0</v>
      </c>
      <c r="AG208" s="115">
        <f t="shared" si="354"/>
        <v>0</v>
      </c>
      <c r="AH208" s="116">
        <f t="shared" si="355"/>
        <v>0</v>
      </c>
      <c r="AI208" s="97">
        <f t="shared" si="367"/>
        <v>0</v>
      </c>
      <c r="AJ208" s="9"/>
      <c r="AK208" s="9">
        <f>GFA!AJ209</f>
        <v>0</v>
      </c>
      <c r="AL208" s="9">
        <f>GFA!AL209</f>
        <v>0</v>
      </c>
      <c r="AM208" s="97">
        <f t="shared" si="356"/>
        <v>0</v>
      </c>
      <c r="AN208" s="9">
        <f t="shared" si="357"/>
        <v>0</v>
      </c>
      <c r="AO208" s="115">
        <f t="shared" si="358"/>
        <v>0</v>
      </c>
      <c r="AP208" s="116">
        <f t="shared" si="359"/>
        <v>0</v>
      </c>
      <c r="AQ208" s="97">
        <f t="shared" si="368"/>
        <v>0</v>
      </c>
      <c r="AR208" s="9"/>
      <c r="AS208" s="9">
        <f>GFA!AR209</f>
        <v>0</v>
      </c>
      <c r="AT208" s="9">
        <f>GFA!AT209</f>
        <v>0</v>
      </c>
      <c r="AU208" s="97">
        <f t="shared" si="360"/>
        <v>0</v>
      </c>
      <c r="AV208" s="9">
        <f t="shared" si="361"/>
        <v>0</v>
      </c>
      <c r="AW208" s="115">
        <f t="shared" si="362"/>
        <v>0</v>
      </c>
      <c r="AX208" s="116">
        <f t="shared" si="363"/>
        <v>0</v>
      </c>
      <c r="AY208" s="97">
        <f t="shared" si="369"/>
        <v>0</v>
      </c>
    </row>
    <row r="209" spans="2:51" x14ac:dyDescent="0.35">
      <c r="B209" s="7" t="s">
        <v>146</v>
      </c>
      <c r="C209" s="14">
        <v>0.15</v>
      </c>
      <c r="D209" s="9"/>
      <c r="E209" s="9">
        <f>GFA!D210</f>
        <v>0</v>
      </c>
      <c r="F209" s="9">
        <f>GFA!F210</f>
        <v>0</v>
      </c>
      <c r="G209" s="97">
        <f t="shared" si="341"/>
        <v>0</v>
      </c>
      <c r="H209" s="9">
        <v>0</v>
      </c>
      <c r="I209" s="115">
        <f t="shared" si="342"/>
        <v>0</v>
      </c>
      <c r="J209" s="116">
        <f t="shared" si="343"/>
        <v>0</v>
      </c>
      <c r="K209" s="97">
        <f t="shared" si="364"/>
        <v>0</v>
      </c>
      <c r="L209" s="9"/>
      <c r="M209" s="9">
        <f>GFA!L210</f>
        <v>0</v>
      </c>
      <c r="N209" s="9">
        <f>GFA!N210</f>
        <v>0</v>
      </c>
      <c r="O209" s="97">
        <f t="shared" si="344"/>
        <v>0</v>
      </c>
      <c r="P209" s="9">
        <f t="shared" si="345"/>
        <v>0</v>
      </c>
      <c r="Q209" s="115">
        <f t="shared" si="346"/>
        <v>0</v>
      </c>
      <c r="R209" s="116">
        <f t="shared" si="347"/>
        <v>0</v>
      </c>
      <c r="S209" s="97">
        <f t="shared" si="365"/>
        <v>0</v>
      </c>
      <c r="T209" s="9"/>
      <c r="U209" s="9">
        <f>GFA!T210</f>
        <v>0</v>
      </c>
      <c r="V209" s="9">
        <f>GFA!V210</f>
        <v>0</v>
      </c>
      <c r="W209" s="97">
        <f t="shared" si="348"/>
        <v>0</v>
      </c>
      <c r="X209" s="9">
        <f t="shared" si="349"/>
        <v>0</v>
      </c>
      <c r="Y209" s="115">
        <f t="shared" si="350"/>
        <v>0</v>
      </c>
      <c r="Z209" s="116">
        <f t="shared" si="351"/>
        <v>0</v>
      </c>
      <c r="AA209" s="97">
        <f t="shared" si="366"/>
        <v>0</v>
      </c>
      <c r="AB209" s="9"/>
      <c r="AC209" s="9">
        <f>GFA!AB210</f>
        <v>0</v>
      </c>
      <c r="AD209" s="9">
        <f>GFA!AD210</f>
        <v>0</v>
      </c>
      <c r="AE209" s="97">
        <f t="shared" si="352"/>
        <v>0</v>
      </c>
      <c r="AF209" s="9">
        <f t="shared" si="353"/>
        <v>0</v>
      </c>
      <c r="AG209" s="115">
        <f t="shared" si="354"/>
        <v>0</v>
      </c>
      <c r="AH209" s="116">
        <f t="shared" si="355"/>
        <v>0</v>
      </c>
      <c r="AI209" s="97">
        <f t="shared" si="367"/>
        <v>0</v>
      </c>
      <c r="AJ209" s="9"/>
      <c r="AK209" s="9">
        <f>GFA!AJ210</f>
        <v>0</v>
      </c>
      <c r="AL209" s="9">
        <f>GFA!AL210</f>
        <v>0</v>
      </c>
      <c r="AM209" s="97">
        <f t="shared" si="356"/>
        <v>0</v>
      </c>
      <c r="AN209" s="9">
        <f t="shared" si="357"/>
        <v>0</v>
      </c>
      <c r="AO209" s="115">
        <f t="shared" si="358"/>
        <v>0</v>
      </c>
      <c r="AP209" s="116">
        <f t="shared" si="359"/>
        <v>0</v>
      </c>
      <c r="AQ209" s="97">
        <f t="shared" si="368"/>
        <v>0</v>
      </c>
      <c r="AR209" s="9"/>
      <c r="AS209" s="9">
        <f>GFA!AR210</f>
        <v>0</v>
      </c>
      <c r="AT209" s="9">
        <f>GFA!AT210</f>
        <v>0</v>
      </c>
      <c r="AU209" s="97">
        <f t="shared" si="360"/>
        <v>0</v>
      </c>
      <c r="AV209" s="9">
        <f t="shared" si="361"/>
        <v>0</v>
      </c>
      <c r="AW209" s="115">
        <f t="shared" si="362"/>
        <v>0</v>
      </c>
      <c r="AX209" s="116">
        <f t="shared" si="363"/>
        <v>0</v>
      </c>
      <c r="AY209" s="97">
        <f t="shared" si="369"/>
        <v>0</v>
      </c>
    </row>
    <row r="210" spans="2:51" x14ac:dyDescent="0.35">
      <c r="B210" s="7" t="s">
        <v>147</v>
      </c>
      <c r="C210" s="14">
        <v>0.3</v>
      </c>
      <c r="D210" s="9"/>
      <c r="E210" s="9">
        <f>GFA!D211</f>
        <v>0</v>
      </c>
      <c r="F210" s="9">
        <f>GFA!F211</f>
        <v>0</v>
      </c>
      <c r="G210" s="97">
        <f t="shared" si="341"/>
        <v>0</v>
      </c>
      <c r="H210" s="9">
        <v>0</v>
      </c>
      <c r="I210" s="115">
        <f t="shared" si="342"/>
        <v>0</v>
      </c>
      <c r="J210" s="116">
        <f t="shared" si="343"/>
        <v>0</v>
      </c>
      <c r="K210" s="97">
        <f t="shared" si="364"/>
        <v>0</v>
      </c>
      <c r="L210" s="9"/>
      <c r="M210" s="9">
        <f>GFA!L211</f>
        <v>0</v>
      </c>
      <c r="N210" s="9">
        <f>GFA!N211</f>
        <v>0</v>
      </c>
      <c r="O210" s="97">
        <f t="shared" si="344"/>
        <v>0</v>
      </c>
      <c r="P210" s="9">
        <f t="shared" si="345"/>
        <v>0</v>
      </c>
      <c r="Q210" s="115">
        <f t="shared" si="346"/>
        <v>0</v>
      </c>
      <c r="R210" s="116">
        <f t="shared" si="347"/>
        <v>0</v>
      </c>
      <c r="S210" s="97">
        <f t="shared" si="365"/>
        <v>0</v>
      </c>
      <c r="T210" s="9"/>
      <c r="U210" s="9">
        <f>GFA!T211</f>
        <v>0</v>
      </c>
      <c r="V210" s="9">
        <f>GFA!V211</f>
        <v>0</v>
      </c>
      <c r="W210" s="97">
        <f t="shared" si="348"/>
        <v>0</v>
      </c>
      <c r="X210" s="9">
        <f t="shared" si="349"/>
        <v>0</v>
      </c>
      <c r="Y210" s="115">
        <f t="shared" si="350"/>
        <v>0</v>
      </c>
      <c r="Z210" s="116">
        <f t="shared" si="351"/>
        <v>0</v>
      </c>
      <c r="AA210" s="97">
        <f t="shared" si="366"/>
        <v>0</v>
      </c>
      <c r="AB210" s="9"/>
      <c r="AC210" s="9">
        <f>GFA!AB211</f>
        <v>0</v>
      </c>
      <c r="AD210" s="9">
        <f>GFA!AD211</f>
        <v>0</v>
      </c>
      <c r="AE210" s="97">
        <f t="shared" si="352"/>
        <v>0</v>
      </c>
      <c r="AF210" s="9">
        <f t="shared" si="353"/>
        <v>0</v>
      </c>
      <c r="AG210" s="115">
        <f t="shared" si="354"/>
        <v>0</v>
      </c>
      <c r="AH210" s="116">
        <f t="shared" si="355"/>
        <v>0</v>
      </c>
      <c r="AI210" s="97">
        <f t="shared" si="367"/>
        <v>0</v>
      </c>
      <c r="AJ210" s="9"/>
      <c r="AK210" s="9">
        <f>GFA!AJ211</f>
        <v>0</v>
      </c>
      <c r="AL210" s="9">
        <f>GFA!AL211</f>
        <v>0</v>
      </c>
      <c r="AM210" s="97">
        <f t="shared" si="356"/>
        <v>0</v>
      </c>
      <c r="AN210" s="9">
        <f t="shared" si="357"/>
        <v>0</v>
      </c>
      <c r="AO210" s="115">
        <f t="shared" si="358"/>
        <v>0</v>
      </c>
      <c r="AP210" s="116">
        <f t="shared" si="359"/>
        <v>0</v>
      </c>
      <c r="AQ210" s="97">
        <f t="shared" si="368"/>
        <v>0</v>
      </c>
      <c r="AR210" s="9"/>
      <c r="AS210" s="9">
        <f>GFA!AR211</f>
        <v>0</v>
      </c>
      <c r="AT210" s="9">
        <f>GFA!AT211</f>
        <v>0</v>
      </c>
      <c r="AU210" s="97">
        <f t="shared" si="360"/>
        <v>0</v>
      </c>
      <c r="AV210" s="9">
        <f t="shared" si="361"/>
        <v>0</v>
      </c>
      <c r="AW210" s="115">
        <f t="shared" si="362"/>
        <v>0</v>
      </c>
      <c r="AX210" s="116">
        <f t="shared" si="363"/>
        <v>0</v>
      </c>
      <c r="AY210" s="97">
        <f t="shared" si="369"/>
        <v>0</v>
      </c>
    </row>
    <row r="211" spans="2:51" x14ac:dyDescent="0.35">
      <c r="B211" s="7" t="s">
        <v>148</v>
      </c>
      <c r="C211" s="14">
        <v>0.3</v>
      </c>
      <c r="D211" s="9"/>
      <c r="E211" s="9">
        <f>GFA!D212</f>
        <v>0</v>
      </c>
      <c r="F211" s="9">
        <f>GFA!F212</f>
        <v>0</v>
      </c>
      <c r="G211" s="97">
        <f t="shared" si="341"/>
        <v>0</v>
      </c>
      <c r="H211" s="9">
        <v>0</v>
      </c>
      <c r="I211" s="115">
        <f t="shared" si="342"/>
        <v>0</v>
      </c>
      <c r="J211" s="116">
        <f t="shared" si="343"/>
        <v>0</v>
      </c>
      <c r="K211" s="97">
        <f t="shared" si="364"/>
        <v>0</v>
      </c>
      <c r="L211" s="9"/>
      <c r="M211" s="9">
        <f>GFA!L212</f>
        <v>0</v>
      </c>
      <c r="N211" s="9">
        <f>GFA!N212</f>
        <v>0</v>
      </c>
      <c r="O211" s="97">
        <f t="shared" si="344"/>
        <v>0</v>
      </c>
      <c r="P211" s="9">
        <f t="shared" si="345"/>
        <v>0</v>
      </c>
      <c r="Q211" s="115">
        <f t="shared" si="346"/>
        <v>0</v>
      </c>
      <c r="R211" s="116">
        <f t="shared" si="347"/>
        <v>0</v>
      </c>
      <c r="S211" s="97">
        <f t="shared" si="365"/>
        <v>0</v>
      </c>
      <c r="T211" s="9"/>
      <c r="U211" s="9">
        <f>GFA!T212</f>
        <v>0</v>
      </c>
      <c r="V211" s="9">
        <f>GFA!V212</f>
        <v>0</v>
      </c>
      <c r="W211" s="97">
        <f t="shared" si="348"/>
        <v>0</v>
      </c>
      <c r="X211" s="9">
        <f t="shared" si="349"/>
        <v>0</v>
      </c>
      <c r="Y211" s="115">
        <f t="shared" si="350"/>
        <v>0</v>
      </c>
      <c r="Z211" s="116">
        <f t="shared" si="351"/>
        <v>0</v>
      </c>
      <c r="AA211" s="97">
        <f t="shared" si="366"/>
        <v>0</v>
      </c>
      <c r="AB211" s="9"/>
      <c r="AC211" s="9">
        <f>GFA!AB212</f>
        <v>0</v>
      </c>
      <c r="AD211" s="9">
        <f>GFA!AD212</f>
        <v>0</v>
      </c>
      <c r="AE211" s="97">
        <f t="shared" si="352"/>
        <v>0</v>
      </c>
      <c r="AF211" s="9">
        <f t="shared" si="353"/>
        <v>0</v>
      </c>
      <c r="AG211" s="115">
        <f t="shared" si="354"/>
        <v>0</v>
      </c>
      <c r="AH211" s="116">
        <f t="shared" si="355"/>
        <v>0</v>
      </c>
      <c r="AI211" s="97">
        <f t="shared" si="367"/>
        <v>0</v>
      </c>
      <c r="AJ211" s="9"/>
      <c r="AK211" s="9">
        <f>GFA!AJ212</f>
        <v>0</v>
      </c>
      <c r="AL211" s="9">
        <f>GFA!AL212</f>
        <v>0</v>
      </c>
      <c r="AM211" s="97">
        <f t="shared" si="356"/>
        <v>0</v>
      </c>
      <c r="AN211" s="9">
        <f t="shared" si="357"/>
        <v>0</v>
      </c>
      <c r="AO211" s="115">
        <f t="shared" si="358"/>
        <v>0</v>
      </c>
      <c r="AP211" s="116">
        <f t="shared" si="359"/>
        <v>0</v>
      </c>
      <c r="AQ211" s="97">
        <f t="shared" si="368"/>
        <v>0</v>
      </c>
      <c r="AR211" s="9"/>
      <c r="AS211" s="9">
        <f>GFA!AR212</f>
        <v>0</v>
      </c>
      <c r="AT211" s="9">
        <f>GFA!AT212</f>
        <v>0</v>
      </c>
      <c r="AU211" s="97">
        <f t="shared" si="360"/>
        <v>0</v>
      </c>
      <c r="AV211" s="9">
        <f t="shared" si="361"/>
        <v>0</v>
      </c>
      <c r="AW211" s="115">
        <f t="shared" si="362"/>
        <v>0</v>
      </c>
      <c r="AX211" s="116">
        <f t="shared" si="363"/>
        <v>0</v>
      </c>
      <c r="AY211" s="97">
        <f t="shared" si="369"/>
        <v>0</v>
      </c>
    </row>
    <row r="212" spans="2:51" ht="31" x14ac:dyDescent="0.35">
      <c r="B212" s="84" t="s">
        <v>149</v>
      </c>
      <c r="C212" s="117">
        <v>3.3399999999999999E-2</v>
      </c>
      <c r="D212" s="9"/>
      <c r="E212" s="9">
        <f>GFA!D213</f>
        <v>0</v>
      </c>
      <c r="F212" s="9">
        <f>GFA!F213</f>
        <v>0</v>
      </c>
      <c r="G212" s="97">
        <f t="shared" si="341"/>
        <v>0</v>
      </c>
      <c r="H212" s="9">
        <v>0</v>
      </c>
      <c r="I212" s="115">
        <f t="shared" si="342"/>
        <v>0</v>
      </c>
      <c r="J212" s="116">
        <f t="shared" si="343"/>
        <v>0</v>
      </c>
      <c r="K212" s="97">
        <f t="shared" si="364"/>
        <v>0</v>
      </c>
      <c r="L212" s="9"/>
      <c r="M212" s="9">
        <f>GFA!L213</f>
        <v>0</v>
      </c>
      <c r="N212" s="9">
        <f>GFA!N213</f>
        <v>0</v>
      </c>
      <c r="O212" s="97">
        <f t="shared" si="344"/>
        <v>0</v>
      </c>
      <c r="P212" s="9">
        <f t="shared" si="345"/>
        <v>0</v>
      </c>
      <c r="Q212" s="115">
        <f t="shared" si="346"/>
        <v>0</v>
      </c>
      <c r="R212" s="116">
        <f t="shared" si="347"/>
        <v>0</v>
      </c>
      <c r="S212" s="97">
        <f t="shared" si="365"/>
        <v>0</v>
      </c>
      <c r="T212" s="9"/>
      <c r="U212" s="9">
        <f>GFA!T213</f>
        <v>0</v>
      </c>
      <c r="V212" s="9">
        <f>GFA!V213</f>
        <v>0</v>
      </c>
      <c r="W212" s="97">
        <f t="shared" si="348"/>
        <v>0</v>
      </c>
      <c r="X212" s="9">
        <f t="shared" si="349"/>
        <v>0</v>
      </c>
      <c r="Y212" s="115">
        <f t="shared" si="350"/>
        <v>0</v>
      </c>
      <c r="Z212" s="116">
        <f t="shared" si="351"/>
        <v>0</v>
      </c>
      <c r="AA212" s="97">
        <f t="shared" si="366"/>
        <v>0</v>
      </c>
      <c r="AB212" s="9"/>
      <c r="AC212" s="9">
        <f>GFA!AB213</f>
        <v>0</v>
      </c>
      <c r="AD212" s="9">
        <f>GFA!AD213</f>
        <v>0</v>
      </c>
      <c r="AE212" s="97">
        <f t="shared" si="352"/>
        <v>0</v>
      </c>
      <c r="AF212" s="9">
        <f t="shared" si="353"/>
        <v>0</v>
      </c>
      <c r="AG212" s="115">
        <f t="shared" si="354"/>
        <v>0</v>
      </c>
      <c r="AH212" s="116">
        <f t="shared" si="355"/>
        <v>0</v>
      </c>
      <c r="AI212" s="97">
        <f t="shared" si="367"/>
        <v>0</v>
      </c>
      <c r="AJ212" s="9"/>
      <c r="AK212" s="9">
        <f>GFA!AJ213</f>
        <v>0</v>
      </c>
      <c r="AL212" s="9">
        <f>GFA!AL213</f>
        <v>0</v>
      </c>
      <c r="AM212" s="97">
        <f t="shared" si="356"/>
        <v>0</v>
      </c>
      <c r="AN212" s="9">
        <f t="shared" si="357"/>
        <v>0</v>
      </c>
      <c r="AO212" s="115">
        <f t="shared" si="358"/>
        <v>0</v>
      </c>
      <c r="AP212" s="116">
        <f t="shared" si="359"/>
        <v>0</v>
      </c>
      <c r="AQ212" s="97">
        <f t="shared" si="368"/>
        <v>0</v>
      </c>
      <c r="AR212" s="9"/>
      <c r="AS212" s="9">
        <f>GFA!AR213</f>
        <v>0</v>
      </c>
      <c r="AT212" s="9">
        <f>GFA!AT213</f>
        <v>0</v>
      </c>
      <c r="AU212" s="97">
        <f t="shared" si="360"/>
        <v>0</v>
      </c>
      <c r="AV212" s="9">
        <f t="shared" si="361"/>
        <v>0</v>
      </c>
      <c r="AW212" s="115">
        <f t="shared" si="362"/>
        <v>0</v>
      </c>
      <c r="AX212" s="116">
        <f t="shared" si="363"/>
        <v>0</v>
      </c>
      <c r="AY212" s="97">
        <f t="shared" si="369"/>
        <v>0</v>
      </c>
    </row>
    <row r="213" spans="2:51" x14ac:dyDescent="0.35">
      <c r="B213" s="12" t="s">
        <v>27</v>
      </c>
      <c r="C213" s="12"/>
      <c r="D213" s="13"/>
      <c r="E213" s="13">
        <f t="shared" ref="E213:AY213" si="370">SUM(E196:E212)</f>
        <v>6553.0545440712413</v>
      </c>
      <c r="F213" s="13">
        <f t="shared" si="370"/>
        <v>131.01315751463468</v>
      </c>
      <c r="G213" s="13">
        <f t="shared" si="370"/>
        <v>6015.6609314272882</v>
      </c>
      <c r="H213" s="13">
        <f t="shared" si="370"/>
        <v>1912.8269456131732</v>
      </c>
      <c r="I213" s="13"/>
      <c r="J213" s="13">
        <f t="shared" si="370"/>
        <v>4102.8339858141153</v>
      </c>
      <c r="K213" s="13">
        <f t="shared" si="370"/>
        <v>336.78611786706955</v>
      </c>
      <c r="L213" s="13"/>
      <c r="M213" s="13">
        <f t="shared" si="370"/>
        <v>6678.7900236858768</v>
      </c>
      <c r="N213" s="13">
        <f t="shared" si="370"/>
        <v>2.6600000000000006</v>
      </c>
      <c r="O213" s="13">
        <f t="shared" si="370"/>
        <v>6013.3050213172883</v>
      </c>
      <c r="P213" s="13">
        <f t="shared" si="370"/>
        <v>2249.6130634802425</v>
      </c>
      <c r="Q213" s="13"/>
      <c r="R213" s="13">
        <f t="shared" si="370"/>
        <v>3763.6919578370466</v>
      </c>
      <c r="S213" s="13">
        <f t="shared" si="370"/>
        <v>339.17086844234859</v>
      </c>
      <c r="T213" s="13"/>
      <c r="U213" s="13">
        <f t="shared" si="370"/>
        <v>6681.4500236858757</v>
      </c>
      <c r="V213" s="13">
        <f t="shared" si="370"/>
        <v>38.21</v>
      </c>
      <c r="W213" s="13">
        <f t="shared" si="370"/>
        <v>6047.6940213172893</v>
      </c>
      <c r="X213" s="13">
        <f t="shared" si="370"/>
        <v>2588.7839319225914</v>
      </c>
      <c r="Y213" s="13"/>
      <c r="Z213" s="13">
        <f t="shared" si="370"/>
        <v>3458.9100893946979</v>
      </c>
      <c r="AA213" s="13">
        <f t="shared" si="370"/>
        <v>340.59986088178732</v>
      </c>
      <c r="AB213" s="13"/>
      <c r="AC213" s="13">
        <f t="shared" si="370"/>
        <v>6715.8682596858762</v>
      </c>
      <c r="AD213" s="13">
        <f t="shared" si="370"/>
        <v>18.87</v>
      </c>
      <c r="AE213" s="13">
        <f t="shared" si="370"/>
        <v>6061.2644337172896</v>
      </c>
      <c r="AF213" s="13">
        <f t="shared" si="370"/>
        <v>2929.3837928043781</v>
      </c>
      <c r="AG213" s="13"/>
      <c r="AH213" s="13">
        <f t="shared" si="370"/>
        <v>3131.8806409129106</v>
      </c>
      <c r="AI213" s="13">
        <f t="shared" si="370"/>
        <v>341.77070216178629</v>
      </c>
      <c r="AJ213" s="13"/>
      <c r="AK213" s="13">
        <f t="shared" si="370"/>
        <v>6734.738259685877</v>
      </c>
      <c r="AL213" s="13">
        <f t="shared" si="370"/>
        <v>7.8900000000000006</v>
      </c>
      <c r="AM213" s="13">
        <f t="shared" si="370"/>
        <v>6068.3654337172902</v>
      </c>
      <c r="AN213" s="13">
        <f t="shared" si="370"/>
        <v>3271.1544949661643</v>
      </c>
      <c r="AO213" s="13"/>
      <c r="AP213" s="13">
        <f t="shared" si="370"/>
        <v>2797.210938751125</v>
      </c>
      <c r="AQ213" s="13">
        <f t="shared" si="370"/>
        <v>342.47716616178627</v>
      </c>
      <c r="AR213" s="13"/>
      <c r="AS213" s="13">
        <f t="shared" si="370"/>
        <v>6742.6282596858764</v>
      </c>
      <c r="AT213" s="13">
        <f t="shared" si="370"/>
        <v>481.48</v>
      </c>
      <c r="AU213" s="13">
        <f t="shared" si="370"/>
        <v>6501.6974337172896</v>
      </c>
      <c r="AV213" s="13">
        <f t="shared" si="370"/>
        <v>3613.6316611279503</v>
      </c>
      <c r="AW213" s="13"/>
      <c r="AX213" s="13">
        <f t="shared" si="370"/>
        <v>2888.0657725893379</v>
      </c>
      <c r="AY213" s="13">
        <f t="shared" si="370"/>
        <v>354.54870803299491</v>
      </c>
    </row>
    <row r="214" spans="2:51" x14ac:dyDescent="0.35">
      <c r="B214" s="70" t="s">
        <v>158</v>
      </c>
      <c r="C214" s="70"/>
      <c r="D214" s="118">
        <v>22</v>
      </c>
      <c r="E214" s="7"/>
      <c r="F214" s="7"/>
      <c r="G214" s="7"/>
      <c r="H214" s="7"/>
      <c r="I214" s="7"/>
      <c r="J214" s="7"/>
      <c r="K214" s="7"/>
      <c r="L214" s="118">
        <f>D214-1</f>
        <v>21</v>
      </c>
      <c r="M214" s="7"/>
      <c r="N214" s="7"/>
      <c r="O214" s="7"/>
      <c r="P214" s="7"/>
      <c r="Q214" s="7"/>
      <c r="R214" s="7"/>
      <c r="S214" s="7"/>
      <c r="T214" s="118">
        <f>L214-1</f>
        <v>20</v>
      </c>
      <c r="U214" s="7"/>
      <c r="V214" s="7"/>
      <c r="W214" s="7"/>
      <c r="X214" s="7"/>
      <c r="Y214" s="7"/>
      <c r="Z214" s="7"/>
      <c r="AA214" s="7"/>
      <c r="AB214" s="118">
        <f>T214-1</f>
        <v>19</v>
      </c>
      <c r="AC214" s="7"/>
      <c r="AD214" s="7"/>
      <c r="AE214" s="7"/>
      <c r="AF214" s="7"/>
      <c r="AG214" s="7"/>
      <c r="AH214" s="7"/>
      <c r="AI214" s="7"/>
      <c r="AJ214" s="118">
        <f>AB214-1</f>
        <v>18</v>
      </c>
      <c r="AK214" s="7"/>
      <c r="AL214" s="7"/>
      <c r="AM214" s="7"/>
      <c r="AN214" s="7"/>
      <c r="AO214" s="7"/>
      <c r="AP214" s="7"/>
      <c r="AQ214" s="7"/>
      <c r="AR214" s="118">
        <f>AJ214-1</f>
        <v>17</v>
      </c>
      <c r="AS214" s="9"/>
      <c r="AT214" s="9"/>
      <c r="AU214" s="9"/>
      <c r="AV214" s="9"/>
      <c r="AW214" s="9"/>
      <c r="AX214" s="9"/>
      <c r="AY214" s="9"/>
    </row>
    <row r="215" spans="2:51" x14ac:dyDescent="0.35">
      <c r="B215" s="7" t="s">
        <v>133</v>
      </c>
      <c r="C215" s="14">
        <v>0</v>
      </c>
      <c r="D215" s="9"/>
      <c r="E215" s="9">
        <f>GFA!D216</f>
        <v>0</v>
      </c>
      <c r="F215" s="9">
        <f>GFA!F216</f>
        <v>0</v>
      </c>
      <c r="G215" s="97">
        <f t="shared" ref="G215:G231" si="371">90%*(E215+F215)</f>
        <v>0</v>
      </c>
      <c r="H215" s="9">
        <v>0</v>
      </c>
      <c r="I215" s="115">
        <f t="shared" ref="I215:I231" si="372">IFERROR(H215/G215,0)</f>
        <v>0</v>
      </c>
      <c r="J215" s="116">
        <f t="shared" ref="J215:J231" si="373">MAX(G215-H215,0)</f>
        <v>0</v>
      </c>
      <c r="K215" s="97">
        <f>IF(I215&lt;70%,MIN(J215,(E215+F215/2)*$C215),J215/D$214)</f>
        <v>0</v>
      </c>
      <c r="L215" s="9"/>
      <c r="M215" s="9">
        <f>GFA!L216</f>
        <v>0</v>
      </c>
      <c r="N215" s="9">
        <f>GFA!N216</f>
        <v>0</v>
      </c>
      <c r="O215" s="97">
        <f t="shared" ref="O215:O231" si="374">90%*(M215+N215)</f>
        <v>0</v>
      </c>
      <c r="P215" s="9">
        <f t="shared" ref="P215:P231" si="375">H215+K215</f>
        <v>0</v>
      </c>
      <c r="Q215" s="115">
        <f t="shared" ref="Q215:Q231" si="376">IFERROR(P215/O215,0)</f>
        <v>0</v>
      </c>
      <c r="R215" s="116">
        <f t="shared" ref="R215:R231" si="377">MAX(O215-P215,0)</f>
        <v>0</v>
      </c>
      <c r="S215" s="97">
        <f>IF(Q215&lt;70%,MIN(R215,(M215+N215/2)*$C215),R215/L$214)</f>
        <v>0</v>
      </c>
      <c r="T215" s="9"/>
      <c r="U215" s="9">
        <f>GFA!T216</f>
        <v>0</v>
      </c>
      <c r="V215" s="9">
        <f>GFA!V216</f>
        <v>0</v>
      </c>
      <c r="W215" s="97">
        <f t="shared" ref="W215:W231" si="378">90%*(U215+V215)</f>
        <v>0</v>
      </c>
      <c r="X215" s="9">
        <f t="shared" ref="X215:X231" si="379">P215+S215</f>
        <v>0</v>
      </c>
      <c r="Y215" s="115">
        <f t="shared" ref="Y215:Y231" si="380">IFERROR(X215/W215,0)</f>
        <v>0</v>
      </c>
      <c r="Z215" s="116">
        <f t="shared" ref="Z215:Z231" si="381">MAX(W215-X215,0)</f>
        <v>0</v>
      </c>
      <c r="AA215" s="97">
        <f>IF(Y215&lt;70%,MIN(Z215,(U215+V215/2)*$C215),Z215/T$214)</f>
        <v>0</v>
      </c>
      <c r="AB215" s="9"/>
      <c r="AC215" s="9">
        <f>GFA!AB216</f>
        <v>0</v>
      </c>
      <c r="AD215" s="9">
        <f>GFA!AD216</f>
        <v>0</v>
      </c>
      <c r="AE215" s="97">
        <f t="shared" ref="AE215:AE231" si="382">90%*(AC215+AD215)</f>
        <v>0</v>
      </c>
      <c r="AF215" s="9">
        <f t="shared" ref="AF215:AF231" si="383">X215+AA215</f>
        <v>0</v>
      </c>
      <c r="AG215" s="115">
        <f t="shared" ref="AG215:AG231" si="384">IFERROR(AF215/AE215,0)</f>
        <v>0</v>
      </c>
      <c r="AH215" s="116">
        <f t="shared" ref="AH215:AH231" si="385">MAX(AE215-AF215,0)</f>
        <v>0</v>
      </c>
      <c r="AI215" s="97">
        <f>IF(AG215&lt;70%,MIN(AH215,(AC215+AD215/2)*$C215),AH215/AB$214)</f>
        <v>0</v>
      </c>
      <c r="AJ215" s="9"/>
      <c r="AK215" s="9">
        <f>GFA!AJ216</f>
        <v>0</v>
      </c>
      <c r="AL215" s="9">
        <f>GFA!AL216</f>
        <v>0</v>
      </c>
      <c r="AM215" s="97">
        <f t="shared" ref="AM215:AM231" si="386">90%*(AK215+AL215)</f>
        <v>0</v>
      </c>
      <c r="AN215" s="9">
        <f t="shared" ref="AN215:AN231" si="387">AF215+AI215</f>
        <v>0</v>
      </c>
      <c r="AO215" s="115">
        <f t="shared" ref="AO215:AO231" si="388">IFERROR(AN215/AM215,0)</f>
        <v>0</v>
      </c>
      <c r="AP215" s="116">
        <f t="shared" ref="AP215:AP231" si="389">MAX(AM215-AN215,0)</f>
        <v>0</v>
      </c>
      <c r="AQ215" s="97">
        <f>IF(AO215&lt;70%,MIN(AP215,(AK215+AL215/2)*$C215),AP215/AJ$214)</f>
        <v>0</v>
      </c>
      <c r="AR215" s="9"/>
      <c r="AS215" s="9">
        <f>GFA!AR216</f>
        <v>0</v>
      </c>
      <c r="AT215" s="9">
        <f>GFA!AT216</f>
        <v>0</v>
      </c>
      <c r="AU215" s="97">
        <f t="shared" ref="AU215:AU231" si="390">90%*(AS215+AT215)</f>
        <v>0</v>
      </c>
      <c r="AV215" s="9">
        <f t="shared" ref="AV215:AV231" si="391">AN215+AQ215</f>
        <v>0</v>
      </c>
      <c r="AW215" s="115">
        <f t="shared" ref="AW215:AW231" si="392">IFERROR(AV215/AU215,0)</f>
        <v>0</v>
      </c>
      <c r="AX215" s="116">
        <f t="shared" ref="AX215:AX231" si="393">MAX(AU215-AV215,0)</f>
        <v>0</v>
      </c>
      <c r="AY215" s="97">
        <f>IF(AW215&lt;70%,MIN(AX215,(AS215+AT215/2)*$C215),AX215/AR$214)</f>
        <v>0</v>
      </c>
    </row>
    <row r="216" spans="2:51" x14ac:dyDescent="0.35">
      <c r="B216" s="7" t="s">
        <v>134</v>
      </c>
      <c r="C216" s="14">
        <v>3.3399999999999999E-2</v>
      </c>
      <c r="D216" s="9"/>
      <c r="E216" s="9">
        <f>GFA!D217</f>
        <v>195.64393852365731</v>
      </c>
      <c r="F216" s="9">
        <f>GFA!F217</f>
        <v>7.231346923564959</v>
      </c>
      <c r="G216" s="97">
        <f t="shared" si="371"/>
        <v>182.58775690250005</v>
      </c>
      <c r="H216" s="9">
        <v>17.89939206090461</v>
      </c>
      <c r="I216" s="115">
        <f t="shared" si="372"/>
        <v>9.8031721099803529E-2</v>
      </c>
      <c r="J216" s="116">
        <f t="shared" si="373"/>
        <v>164.68836484159544</v>
      </c>
      <c r="K216" s="97">
        <f t="shared" ref="K216:K231" si="394">IF(I216&lt;70%,MIN(J216,(E216+F216/2)*$C216),J216/D$214)</f>
        <v>6.6552710403136892</v>
      </c>
      <c r="L216" s="9"/>
      <c r="M216" s="9">
        <f>GFA!L217</f>
        <v>202.87528544722227</v>
      </c>
      <c r="N216" s="9">
        <f>GFA!N217</f>
        <v>5.8647666290540466</v>
      </c>
      <c r="O216" s="97">
        <f t="shared" si="374"/>
        <v>187.86604686864871</v>
      </c>
      <c r="P216" s="9">
        <f t="shared" si="375"/>
        <v>24.554663101218299</v>
      </c>
      <c r="Q216" s="115">
        <f t="shared" si="376"/>
        <v>0.13070303820459006</v>
      </c>
      <c r="R216" s="116">
        <f t="shared" si="377"/>
        <v>163.31138376743041</v>
      </c>
      <c r="S216" s="97">
        <f t="shared" ref="S216:S231" si="395">IF(Q216&lt;70%,MIN(R216,(M216+N216/2)*$C216),R216/L$214)</f>
        <v>6.8739761366424261</v>
      </c>
      <c r="T216" s="9"/>
      <c r="U216" s="9">
        <f>GFA!T217</f>
        <v>208.74005207627633</v>
      </c>
      <c r="V216" s="9">
        <f>GFA!V217</f>
        <v>1.2378835457709945</v>
      </c>
      <c r="W216" s="97">
        <f t="shared" si="378"/>
        <v>188.98014205984259</v>
      </c>
      <c r="X216" s="9">
        <f t="shared" si="379"/>
        <v>31.428639237860725</v>
      </c>
      <c r="Y216" s="115">
        <f t="shared" si="380"/>
        <v>0.16630657007289426</v>
      </c>
      <c r="Z216" s="116">
        <f t="shared" si="381"/>
        <v>157.55150282198187</v>
      </c>
      <c r="AA216" s="97">
        <f t="shared" ref="AA216:AA231" si="396">IF(Y216&lt;70%,MIN(Z216,(U216+V216/2)*$C216),Z216/T$214)</f>
        <v>6.9925903945620052</v>
      </c>
      <c r="AB216" s="9"/>
      <c r="AC216" s="9">
        <f>GFA!AB217</f>
        <v>209.97793562204731</v>
      </c>
      <c r="AD216" s="9">
        <f>GFA!AD217</f>
        <v>0</v>
      </c>
      <c r="AE216" s="97">
        <f t="shared" si="382"/>
        <v>188.98014205984259</v>
      </c>
      <c r="AF216" s="9">
        <f t="shared" si="383"/>
        <v>38.42122963242273</v>
      </c>
      <c r="AG216" s="115">
        <f t="shared" si="384"/>
        <v>0.20330829056238212</v>
      </c>
      <c r="AH216" s="116">
        <f t="shared" si="385"/>
        <v>150.55891242741987</v>
      </c>
      <c r="AI216" s="97">
        <f t="shared" ref="AI216:AI231" si="397">IF(AG216&lt;70%,MIN(AH216,(AC216+AD216/2)*$C216),AH216/AB$214)</f>
        <v>7.0132630497763797</v>
      </c>
      <c r="AJ216" s="9"/>
      <c r="AK216" s="9">
        <f>GFA!AJ217</f>
        <v>209.97793562204731</v>
      </c>
      <c r="AL216" s="9">
        <f>GFA!AL217</f>
        <v>0</v>
      </c>
      <c r="AM216" s="97">
        <f t="shared" si="386"/>
        <v>188.98014205984259</v>
      </c>
      <c r="AN216" s="9">
        <f t="shared" si="387"/>
        <v>45.434492682199107</v>
      </c>
      <c r="AO216" s="115">
        <f t="shared" si="388"/>
        <v>0.24041940167349321</v>
      </c>
      <c r="AP216" s="116">
        <f t="shared" si="389"/>
        <v>143.54564937764349</v>
      </c>
      <c r="AQ216" s="97">
        <f t="shared" ref="AQ216:AQ231" si="398">IF(AO216&lt;70%,MIN(AP216,(AK216+AL216/2)*$C216),AP216/AJ$214)</f>
        <v>7.0132630497763797</v>
      </c>
      <c r="AR216" s="9"/>
      <c r="AS216" s="9">
        <f>GFA!AR217</f>
        <v>209.97793562204731</v>
      </c>
      <c r="AT216" s="9">
        <f>GFA!AT217</f>
        <v>0</v>
      </c>
      <c r="AU216" s="97">
        <f t="shared" si="390"/>
        <v>188.98014205984259</v>
      </c>
      <c r="AV216" s="9">
        <f t="shared" si="391"/>
        <v>52.447755731975484</v>
      </c>
      <c r="AW216" s="115">
        <f t="shared" si="392"/>
        <v>0.27753051278460433</v>
      </c>
      <c r="AX216" s="116">
        <f t="shared" si="393"/>
        <v>136.5323863278671</v>
      </c>
      <c r="AY216" s="97">
        <f t="shared" ref="AY216:AY231" si="399">IF(AW216&lt;70%,MIN(AX216,(AS216+AT216/2)*$C216),AX216/AR$214)</f>
        <v>7.0132630497763797</v>
      </c>
    </row>
    <row r="217" spans="2:51" ht="31" x14ac:dyDescent="0.35">
      <c r="B217" s="84" t="s">
        <v>135</v>
      </c>
      <c r="C217" s="117">
        <v>5.28E-2</v>
      </c>
      <c r="D217" s="9"/>
      <c r="E217" s="9">
        <f>GFA!D218</f>
        <v>0</v>
      </c>
      <c r="F217" s="9">
        <f>GFA!F218</f>
        <v>0</v>
      </c>
      <c r="G217" s="97">
        <f t="shared" si="371"/>
        <v>0</v>
      </c>
      <c r="H217" s="9">
        <v>0</v>
      </c>
      <c r="I217" s="115">
        <f t="shared" si="372"/>
        <v>0</v>
      </c>
      <c r="J217" s="116">
        <f t="shared" si="373"/>
        <v>0</v>
      </c>
      <c r="K217" s="97">
        <f t="shared" si="394"/>
        <v>0</v>
      </c>
      <c r="L217" s="9"/>
      <c r="M217" s="9">
        <f>GFA!L218</f>
        <v>0</v>
      </c>
      <c r="N217" s="9">
        <f>GFA!N218</f>
        <v>0</v>
      </c>
      <c r="O217" s="97">
        <f t="shared" si="374"/>
        <v>0</v>
      </c>
      <c r="P217" s="9">
        <f t="shared" si="375"/>
        <v>0</v>
      </c>
      <c r="Q217" s="115">
        <f t="shared" si="376"/>
        <v>0</v>
      </c>
      <c r="R217" s="116">
        <f t="shared" si="377"/>
        <v>0</v>
      </c>
      <c r="S217" s="97">
        <f t="shared" si="395"/>
        <v>0</v>
      </c>
      <c r="T217" s="9"/>
      <c r="U217" s="9">
        <f>GFA!T218</f>
        <v>0</v>
      </c>
      <c r="V217" s="9">
        <f>GFA!V218</f>
        <v>0</v>
      </c>
      <c r="W217" s="97">
        <f t="shared" si="378"/>
        <v>0</v>
      </c>
      <c r="X217" s="9">
        <f t="shared" si="379"/>
        <v>0</v>
      </c>
      <c r="Y217" s="115">
        <f t="shared" si="380"/>
        <v>0</v>
      </c>
      <c r="Z217" s="116">
        <f t="shared" si="381"/>
        <v>0</v>
      </c>
      <c r="AA217" s="97">
        <f t="shared" si="396"/>
        <v>0</v>
      </c>
      <c r="AB217" s="9"/>
      <c r="AC217" s="9">
        <f>GFA!AB218</f>
        <v>0</v>
      </c>
      <c r="AD217" s="9">
        <f>GFA!AD218</f>
        <v>0</v>
      </c>
      <c r="AE217" s="97">
        <f t="shared" si="382"/>
        <v>0</v>
      </c>
      <c r="AF217" s="9">
        <f t="shared" si="383"/>
        <v>0</v>
      </c>
      <c r="AG217" s="115">
        <f t="shared" si="384"/>
        <v>0</v>
      </c>
      <c r="AH217" s="116">
        <f t="shared" si="385"/>
        <v>0</v>
      </c>
      <c r="AI217" s="97">
        <f t="shared" si="397"/>
        <v>0</v>
      </c>
      <c r="AJ217" s="9"/>
      <c r="AK217" s="9">
        <f>GFA!AJ218</f>
        <v>0</v>
      </c>
      <c r="AL217" s="9">
        <f>GFA!AL218</f>
        <v>0</v>
      </c>
      <c r="AM217" s="97">
        <f t="shared" si="386"/>
        <v>0</v>
      </c>
      <c r="AN217" s="9">
        <f t="shared" si="387"/>
        <v>0</v>
      </c>
      <c r="AO217" s="115">
        <f t="shared" si="388"/>
        <v>0</v>
      </c>
      <c r="AP217" s="116">
        <f t="shared" si="389"/>
        <v>0</v>
      </c>
      <c r="AQ217" s="97">
        <f t="shared" si="398"/>
        <v>0</v>
      </c>
      <c r="AR217" s="9"/>
      <c r="AS217" s="9">
        <f>GFA!AR218</f>
        <v>0</v>
      </c>
      <c r="AT217" s="9">
        <f>GFA!AT218</f>
        <v>0</v>
      </c>
      <c r="AU217" s="97">
        <f t="shared" si="390"/>
        <v>0</v>
      </c>
      <c r="AV217" s="9">
        <f t="shared" si="391"/>
        <v>0</v>
      </c>
      <c r="AW217" s="115">
        <f t="shared" si="392"/>
        <v>0</v>
      </c>
      <c r="AX217" s="116">
        <f t="shared" si="393"/>
        <v>0</v>
      </c>
      <c r="AY217" s="97">
        <f t="shared" si="399"/>
        <v>0</v>
      </c>
    </row>
    <row r="218" spans="2:51" x14ac:dyDescent="0.35">
      <c r="B218" s="7" t="s">
        <v>136</v>
      </c>
      <c r="C218" s="14">
        <v>5.28E-2</v>
      </c>
      <c r="D218" s="9"/>
      <c r="E218" s="9">
        <f>GFA!D219</f>
        <v>542.64183945364368</v>
      </c>
      <c r="F218" s="9">
        <f>GFA!F219</f>
        <v>2.1091779586335857</v>
      </c>
      <c r="G218" s="97">
        <f t="shared" si="371"/>
        <v>490.27591567104957</v>
      </c>
      <c r="H218" s="9">
        <v>80.19785098906398</v>
      </c>
      <c r="I218" s="115">
        <f t="shared" si="372"/>
        <v>0.16357697456807707</v>
      </c>
      <c r="J218" s="116">
        <f t="shared" si="373"/>
        <v>410.07806468198561</v>
      </c>
      <c r="K218" s="97">
        <f t="shared" si="394"/>
        <v>28.707171421260313</v>
      </c>
      <c r="L218" s="9"/>
      <c r="M218" s="9">
        <f>GFA!L219</f>
        <v>544.75101741227729</v>
      </c>
      <c r="N218" s="9">
        <f>GFA!N219</f>
        <v>3.2215620605134347</v>
      </c>
      <c r="O218" s="97">
        <f t="shared" si="374"/>
        <v>493.17532152551166</v>
      </c>
      <c r="P218" s="9">
        <f t="shared" si="375"/>
        <v>108.90502241032429</v>
      </c>
      <c r="Q218" s="115">
        <f t="shared" si="376"/>
        <v>0.22082415250109125</v>
      </c>
      <c r="R218" s="116">
        <f t="shared" si="377"/>
        <v>384.27029911518736</v>
      </c>
      <c r="S218" s="97">
        <f t="shared" si="395"/>
        <v>28.847902957765793</v>
      </c>
      <c r="T218" s="9"/>
      <c r="U218" s="9">
        <f>GFA!T219</f>
        <v>547.9725794727907</v>
      </c>
      <c r="V218" s="9">
        <f>GFA!V219</f>
        <v>12.192481869850356</v>
      </c>
      <c r="W218" s="97">
        <f t="shared" si="378"/>
        <v>504.14855520837693</v>
      </c>
      <c r="X218" s="9">
        <f t="shared" si="379"/>
        <v>137.75292536809008</v>
      </c>
      <c r="Y218" s="115">
        <f t="shared" si="380"/>
        <v>0.2732387585860549</v>
      </c>
      <c r="Z218" s="116">
        <f t="shared" si="381"/>
        <v>366.39562984028686</v>
      </c>
      <c r="AA218" s="97">
        <f t="shared" si="396"/>
        <v>29.254833717527397</v>
      </c>
      <c r="AB218" s="9"/>
      <c r="AC218" s="9">
        <f>GFA!AB219</f>
        <v>560.16506134264102</v>
      </c>
      <c r="AD218" s="9">
        <f>GFA!AD219</f>
        <v>0</v>
      </c>
      <c r="AE218" s="97">
        <f t="shared" si="382"/>
        <v>504.14855520837693</v>
      </c>
      <c r="AF218" s="9">
        <f t="shared" si="383"/>
        <v>167.00775908561747</v>
      </c>
      <c r="AG218" s="115">
        <f t="shared" si="384"/>
        <v>0.33126695962976443</v>
      </c>
      <c r="AH218" s="116">
        <f t="shared" si="385"/>
        <v>337.14079612275947</v>
      </c>
      <c r="AI218" s="97">
        <f t="shared" si="397"/>
        <v>29.576715238891445</v>
      </c>
      <c r="AJ218" s="9"/>
      <c r="AK218" s="9">
        <f>GFA!AJ219</f>
        <v>560.16506134264102</v>
      </c>
      <c r="AL218" s="9">
        <f>GFA!AL219</f>
        <v>0</v>
      </c>
      <c r="AM218" s="97">
        <f t="shared" si="386"/>
        <v>504.14855520837693</v>
      </c>
      <c r="AN218" s="9">
        <f t="shared" si="387"/>
        <v>196.5844743245089</v>
      </c>
      <c r="AO218" s="115">
        <f t="shared" si="388"/>
        <v>0.38993362629643108</v>
      </c>
      <c r="AP218" s="116">
        <f t="shared" si="389"/>
        <v>307.56408088386803</v>
      </c>
      <c r="AQ218" s="97">
        <f t="shared" si="398"/>
        <v>29.576715238891445</v>
      </c>
      <c r="AR218" s="9"/>
      <c r="AS218" s="9">
        <f>GFA!AR219</f>
        <v>560.16506134264102</v>
      </c>
      <c r="AT218" s="9">
        <f>GFA!AT219</f>
        <v>0</v>
      </c>
      <c r="AU218" s="97">
        <f t="shared" si="390"/>
        <v>504.14855520837693</v>
      </c>
      <c r="AV218" s="9">
        <f t="shared" si="391"/>
        <v>226.16118956340034</v>
      </c>
      <c r="AW218" s="115">
        <f t="shared" si="392"/>
        <v>0.44860029296309772</v>
      </c>
      <c r="AX218" s="116">
        <f t="shared" si="393"/>
        <v>277.98736564497659</v>
      </c>
      <c r="AY218" s="97">
        <f t="shared" si="399"/>
        <v>29.576715238891445</v>
      </c>
    </row>
    <row r="219" spans="2:51" x14ac:dyDescent="0.35">
      <c r="B219" s="7" t="s">
        <v>137</v>
      </c>
      <c r="C219" s="14">
        <v>3.3399999999999999E-2</v>
      </c>
      <c r="D219" s="9"/>
      <c r="E219" s="9">
        <f>GFA!D220</f>
        <v>186.41755051093304</v>
      </c>
      <c r="F219" s="9">
        <f>GFA!F220</f>
        <v>29.601171453390673</v>
      </c>
      <c r="G219" s="97">
        <f t="shared" si="371"/>
        <v>194.41684976789134</v>
      </c>
      <c r="H219" s="9">
        <v>15.285297475308308</v>
      </c>
      <c r="I219" s="115">
        <f t="shared" si="372"/>
        <v>7.8621258875231151E-2</v>
      </c>
      <c r="J219" s="116">
        <f t="shared" si="373"/>
        <v>179.13155229258302</v>
      </c>
      <c r="K219" s="97">
        <f t="shared" si="394"/>
        <v>6.7206857503367878</v>
      </c>
      <c r="L219" s="9"/>
      <c r="M219" s="9">
        <f>GFA!L220</f>
        <v>216.0187219643237</v>
      </c>
      <c r="N219" s="9">
        <f>GFA!N220</f>
        <v>79.716399018379278</v>
      </c>
      <c r="O219" s="97">
        <f t="shared" si="374"/>
        <v>266.16160888443272</v>
      </c>
      <c r="P219" s="9">
        <f t="shared" si="375"/>
        <v>22.005983225645096</v>
      </c>
      <c r="Q219" s="115">
        <f t="shared" si="376"/>
        <v>8.2679028421413267E-2</v>
      </c>
      <c r="R219" s="116">
        <f t="shared" si="377"/>
        <v>244.15562565878764</v>
      </c>
      <c r="S219" s="97">
        <f t="shared" si="395"/>
        <v>8.5462891772153444</v>
      </c>
      <c r="T219" s="9"/>
      <c r="U219" s="9">
        <f>GFA!T220</f>
        <v>295.73512098270299</v>
      </c>
      <c r="V219" s="9">
        <f>GFA!V220</f>
        <v>11.914753242485272</v>
      </c>
      <c r="W219" s="97">
        <f t="shared" si="378"/>
        <v>276.88488680266948</v>
      </c>
      <c r="X219" s="9">
        <f t="shared" si="379"/>
        <v>30.552272402860439</v>
      </c>
      <c r="Y219" s="115">
        <f t="shared" si="380"/>
        <v>0.1103428675926052</v>
      </c>
      <c r="Z219" s="116">
        <f t="shared" si="381"/>
        <v>246.33261439980905</v>
      </c>
      <c r="AA219" s="97">
        <f t="shared" si="396"/>
        <v>10.076529419971784</v>
      </c>
      <c r="AB219" s="9"/>
      <c r="AC219" s="9">
        <f>GFA!AB220</f>
        <v>307.64987422518828</v>
      </c>
      <c r="AD219" s="9">
        <f>GFA!AD220</f>
        <v>0</v>
      </c>
      <c r="AE219" s="97">
        <f t="shared" si="382"/>
        <v>276.88488680266948</v>
      </c>
      <c r="AF219" s="9">
        <f t="shared" si="383"/>
        <v>40.628801822832223</v>
      </c>
      <c r="AG219" s="115">
        <f t="shared" si="384"/>
        <v>0.14673535378544364</v>
      </c>
      <c r="AH219" s="116">
        <f t="shared" si="385"/>
        <v>236.25608497983725</v>
      </c>
      <c r="AI219" s="97">
        <f t="shared" si="397"/>
        <v>10.275505799121289</v>
      </c>
      <c r="AJ219" s="9"/>
      <c r="AK219" s="9">
        <f>GFA!AJ220</f>
        <v>307.64987422518828</v>
      </c>
      <c r="AL219" s="9">
        <f>GFA!AL220</f>
        <v>0</v>
      </c>
      <c r="AM219" s="97">
        <f t="shared" si="386"/>
        <v>276.88488680266948</v>
      </c>
      <c r="AN219" s="9">
        <f t="shared" si="387"/>
        <v>50.904307621953514</v>
      </c>
      <c r="AO219" s="115">
        <f t="shared" si="388"/>
        <v>0.18384646489655476</v>
      </c>
      <c r="AP219" s="116">
        <f t="shared" si="389"/>
        <v>225.98057918071598</v>
      </c>
      <c r="AQ219" s="97">
        <f t="shared" si="398"/>
        <v>10.275505799121289</v>
      </c>
      <c r="AR219" s="9"/>
      <c r="AS219" s="9">
        <f>GFA!AR220</f>
        <v>307.64987422518828</v>
      </c>
      <c r="AT219" s="9">
        <f>GFA!AT220</f>
        <v>0</v>
      </c>
      <c r="AU219" s="97">
        <f t="shared" si="390"/>
        <v>276.88488680266948</v>
      </c>
      <c r="AV219" s="9">
        <f t="shared" si="391"/>
        <v>61.179813421074805</v>
      </c>
      <c r="AW219" s="115">
        <f t="shared" si="392"/>
        <v>0.22095757600766588</v>
      </c>
      <c r="AX219" s="116">
        <f t="shared" si="393"/>
        <v>215.70507338159467</v>
      </c>
      <c r="AY219" s="97">
        <f t="shared" si="399"/>
        <v>10.275505799121289</v>
      </c>
    </row>
    <row r="220" spans="2:51" x14ac:dyDescent="0.35">
      <c r="B220" s="7" t="s">
        <v>138</v>
      </c>
      <c r="C220" s="14">
        <v>5.28E-2</v>
      </c>
      <c r="D220" s="9"/>
      <c r="E220" s="9">
        <f>GFA!D221</f>
        <v>11488.719498426099</v>
      </c>
      <c r="F220" s="9">
        <f>GFA!F221</f>
        <v>173.50966963943574</v>
      </c>
      <c r="G220" s="97">
        <f t="shared" si="371"/>
        <v>10496.006251258981</v>
      </c>
      <c r="H220" s="9">
        <v>1551.0966197783755</v>
      </c>
      <c r="I220" s="115">
        <f t="shared" si="372"/>
        <v>0.14777969664340887</v>
      </c>
      <c r="J220" s="116">
        <f t="shared" si="373"/>
        <v>8944.9096314806047</v>
      </c>
      <c r="K220" s="97">
        <f t="shared" si="394"/>
        <v>611.1850447953791</v>
      </c>
      <c r="L220" s="9"/>
      <c r="M220" s="9">
        <f>GFA!L221</f>
        <v>11662.229168065534</v>
      </c>
      <c r="N220" s="9">
        <f>GFA!N221</f>
        <v>119.15393805168081</v>
      </c>
      <c r="O220" s="97">
        <f t="shared" si="374"/>
        <v>10603.244795505494</v>
      </c>
      <c r="P220" s="9">
        <f t="shared" si="375"/>
        <v>2162.2816645737548</v>
      </c>
      <c r="Q220" s="115">
        <f t="shared" si="376"/>
        <v>0.20392641179899038</v>
      </c>
      <c r="R220" s="116">
        <f t="shared" si="377"/>
        <v>8440.9631309317392</v>
      </c>
      <c r="S220" s="97">
        <f t="shared" si="395"/>
        <v>618.91136403842461</v>
      </c>
      <c r="T220" s="9"/>
      <c r="U220" s="9">
        <f>GFA!T221</f>
        <v>11781.383106117215</v>
      </c>
      <c r="V220" s="9">
        <f>GFA!V221</f>
        <v>218.79103209316824</v>
      </c>
      <c r="W220" s="97">
        <f t="shared" si="378"/>
        <v>10800.156724389344</v>
      </c>
      <c r="X220" s="9">
        <f t="shared" si="379"/>
        <v>2781.1930286121797</v>
      </c>
      <c r="Y220" s="115">
        <f t="shared" si="380"/>
        <v>0.25751413609874557</v>
      </c>
      <c r="Z220" s="116">
        <f t="shared" si="381"/>
        <v>8018.9636957771645</v>
      </c>
      <c r="AA220" s="97">
        <f t="shared" si="396"/>
        <v>627.83311125024863</v>
      </c>
      <c r="AB220" s="9"/>
      <c r="AC220" s="9">
        <f>GFA!AB221</f>
        <v>12000.174138210383</v>
      </c>
      <c r="AD220" s="9">
        <f>GFA!AD221</f>
        <v>306.92</v>
      </c>
      <c r="AE220" s="97">
        <f t="shared" si="382"/>
        <v>11076.384724389345</v>
      </c>
      <c r="AF220" s="9">
        <f t="shared" si="383"/>
        <v>3409.0261398624284</v>
      </c>
      <c r="AG220" s="115">
        <f t="shared" si="384"/>
        <v>0.30777426251329243</v>
      </c>
      <c r="AH220" s="116">
        <f t="shared" si="385"/>
        <v>7667.3585845269172</v>
      </c>
      <c r="AI220" s="97">
        <f t="shared" si="397"/>
        <v>641.71188249750821</v>
      </c>
      <c r="AJ220" s="9"/>
      <c r="AK220" s="9">
        <f>GFA!AJ221</f>
        <v>12307.094138210383</v>
      </c>
      <c r="AL220" s="9">
        <f>GFA!AL221</f>
        <v>41.59</v>
      </c>
      <c r="AM220" s="97">
        <f t="shared" si="386"/>
        <v>11113.815724389346</v>
      </c>
      <c r="AN220" s="9">
        <f t="shared" si="387"/>
        <v>4050.7380223599366</v>
      </c>
      <c r="AO220" s="115">
        <f t="shared" si="388"/>
        <v>0.36447770260132745</v>
      </c>
      <c r="AP220" s="116">
        <f t="shared" si="389"/>
        <v>7063.077702029409</v>
      </c>
      <c r="AQ220" s="97">
        <f t="shared" si="398"/>
        <v>650.91254649750817</v>
      </c>
      <c r="AR220" s="9"/>
      <c r="AS220" s="9">
        <f>GFA!AR221</f>
        <v>12348.684138210383</v>
      </c>
      <c r="AT220" s="9">
        <f>GFA!AT221</f>
        <v>997.00000000000011</v>
      </c>
      <c r="AU220" s="97">
        <f t="shared" si="390"/>
        <v>12011.115724389345</v>
      </c>
      <c r="AV220" s="9">
        <f t="shared" si="391"/>
        <v>4701.6505688574453</v>
      </c>
      <c r="AW220" s="115">
        <f t="shared" si="392"/>
        <v>0.39144161764343344</v>
      </c>
      <c r="AX220" s="116">
        <f t="shared" si="393"/>
        <v>7309.4651555318997</v>
      </c>
      <c r="AY220" s="97">
        <f t="shared" si="399"/>
        <v>678.33132249750827</v>
      </c>
    </row>
    <row r="221" spans="2:51" x14ac:dyDescent="0.35">
      <c r="B221" s="7" t="s">
        <v>139</v>
      </c>
      <c r="C221" s="14">
        <v>0.18</v>
      </c>
      <c r="D221" s="9"/>
      <c r="E221" s="9">
        <f>GFA!D222</f>
        <v>0</v>
      </c>
      <c r="F221" s="9">
        <f>GFA!F222</f>
        <v>0</v>
      </c>
      <c r="G221" s="97">
        <f t="shared" si="371"/>
        <v>0</v>
      </c>
      <c r="H221" s="9">
        <v>0</v>
      </c>
      <c r="I221" s="115">
        <f t="shared" si="372"/>
        <v>0</v>
      </c>
      <c r="J221" s="116">
        <f t="shared" si="373"/>
        <v>0</v>
      </c>
      <c r="K221" s="97">
        <f t="shared" si="394"/>
        <v>0</v>
      </c>
      <c r="L221" s="9"/>
      <c r="M221" s="9">
        <f>GFA!L222</f>
        <v>0</v>
      </c>
      <c r="N221" s="9">
        <f>GFA!N222</f>
        <v>0</v>
      </c>
      <c r="O221" s="97">
        <f t="shared" si="374"/>
        <v>0</v>
      </c>
      <c r="P221" s="9">
        <f t="shared" si="375"/>
        <v>0</v>
      </c>
      <c r="Q221" s="115">
        <f t="shared" si="376"/>
        <v>0</v>
      </c>
      <c r="R221" s="116">
        <f t="shared" si="377"/>
        <v>0</v>
      </c>
      <c r="S221" s="97">
        <f t="shared" si="395"/>
        <v>0</v>
      </c>
      <c r="T221" s="9"/>
      <c r="U221" s="9">
        <f>GFA!T222</f>
        <v>0</v>
      </c>
      <c r="V221" s="9">
        <f>GFA!V222</f>
        <v>0</v>
      </c>
      <c r="W221" s="97">
        <f t="shared" si="378"/>
        <v>0</v>
      </c>
      <c r="X221" s="9">
        <f t="shared" si="379"/>
        <v>0</v>
      </c>
      <c r="Y221" s="115">
        <f t="shared" si="380"/>
        <v>0</v>
      </c>
      <c r="Z221" s="116">
        <f t="shared" si="381"/>
        <v>0</v>
      </c>
      <c r="AA221" s="97">
        <f t="shared" si="396"/>
        <v>0</v>
      </c>
      <c r="AB221" s="9"/>
      <c r="AC221" s="9">
        <f>GFA!AB222</f>
        <v>0</v>
      </c>
      <c r="AD221" s="9">
        <f>GFA!AD222</f>
        <v>0</v>
      </c>
      <c r="AE221" s="97">
        <f t="shared" si="382"/>
        <v>0</v>
      </c>
      <c r="AF221" s="9">
        <f t="shared" si="383"/>
        <v>0</v>
      </c>
      <c r="AG221" s="115">
        <f t="shared" si="384"/>
        <v>0</v>
      </c>
      <c r="AH221" s="116">
        <f t="shared" si="385"/>
        <v>0</v>
      </c>
      <c r="AI221" s="97">
        <f t="shared" si="397"/>
        <v>0</v>
      </c>
      <c r="AJ221" s="9"/>
      <c r="AK221" s="9">
        <f>GFA!AJ222</f>
        <v>0</v>
      </c>
      <c r="AL221" s="9">
        <f>GFA!AL222</f>
        <v>0</v>
      </c>
      <c r="AM221" s="97">
        <f t="shared" si="386"/>
        <v>0</v>
      </c>
      <c r="AN221" s="9">
        <f t="shared" si="387"/>
        <v>0</v>
      </c>
      <c r="AO221" s="115">
        <f t="shared" si="388"/>
        <v>0</v>
      </c>
      <c r="AP221" s="116">
        <f t="shared" si="389"/>
        <v>0</v>
      </c>
      <c r="AQ221" s="97">
        <f t="shared" si="398"/>
        <v>0</v>
      </c>
      <c r="AR221" s="9"/>
      <c r="AS221" s="9">
        <f>GFA!AR222</f>
        <v>0</v>
      </c>
      <c r="AT221" s="9">
        <f>GFA!AT222</f>
        <v>0</v>
      </c>
      <c r="AU221" s="97">
        <f t="shared" si="390"/>
        <v>0</v>
      </c>
      <c r="AV221" s="9">
        <f t="shared" si="391"/>
        <v>0</v>
      </c>
      <c r="AW221" s="115">
        <f t="shared" si="392"/>
        <v>0</v>
      </c>
      <c r="AX221" s="116">
        <f t="shared" si="393"/>
        <v>0</v>
      </c>
      <c r="AY221" s="97">
        <f t="shared" si="399"/>
        <v>0</v>
      </c>
    </row>
    <row r="222" spans="2:51" x14ac:dyDescent="0.35">
      <c r="B222" s="7" t="s">
        <v>140</v>
      </c>
      <c r="C222" s="14">
        <v>5.28E-2</v>
      </c>
      <c r="D222" s="9"/>
      <c r="E222" s="9">
        <f>GFA!D223</f>
        <v>0</v>
      </c>
      <c r="F222" s="9">
        <f>GFA!F223</f>
        <v>0</v>
      </c>
      <c r="G222" s="97">
        <f t="shared" si="371"/>
        <v>0</v>
      </c>
      <c r="H222" s="9">
        <v>0</v>
      </c>
      <c r="I222" s="115">
        <f t="shared" si="372"/>
        <v>0</v>
      </c>
      <c r="J222" s="116">
        <f t="shared" si="373"/>
        <v>0</v>
      </c>
      <c r="K222" s="97">
        <f t="shared" si="394"/>
        <v>0</v>
      </c>
      <c r="L222" s="9"/>
      <c r="M222" s="9">
        <f>GFA!L223</f>
        <v>0</v>
      </c>
      <c r="N222" s="9">
        <f>GFA!N223</f>
        <v>0</v>
      </c>
      <c r="O222" s="97">
        <f t="shared" si="374"/>
        <v>0</v>
      </c>
      <c r="P222" s="9">
        <f t="shared" si="375"/>
        <v>0</v>
      </c>
      <c r="Q222" s="115">
        <f t="shared" si="376"/>
        <v>0</v>
      </c>
      <c r="R222" s="116">
        <f t="shared" si="377"/>
        <v>0</v>
      </c>
      <c r="S222" s="97">
        <f t="shared" si="395"/>
        <v>0</v>
      </c>
      <c r="T222" s="9"/>
      <c r="U222" s="9">
        <f>GFA!T223</f>
        <v>0</v>
      </c>
      <c r="V222" s="9">
        <f>GFA!V223</f>
        <v>0</v>
      </c>
      <c r="W222" s="97">
        <f t="shared" si="378"/>
        <v>0</v>
      </c>
      <c r="X222" s="9">
        <f t="shared" si="379"/>
        <v>0</v>
      </c>
      <c r="Y222" s="115">
        <f t="shared" si="380"/>
        <v>0</v>
      </c>
      <c r="Z222" s="116">
        <f t="shared" si="381"/>
        <v>0</v>
      </c>
      <c r="AA222" s="97">
        <f t="shared" si="396"/>
        <v>0</v>
      </c>
      <c r="AB222" s="9"/>
      <c r="AC222" s="9">
        <f>GFA!AB223</f>
        <v>0</v>
      </c>
      <c r="AD222" s="9">
        <f>GFA!AD223</f>
        <v>0</v>
      </c>
      <c r="AE222" s="97">
        <f t="shared" si="382"/>
        <v>0</v>
      </c>
      <c r="AF222" s="9">
        <f t="shared" si="383"/>
        <v>0</v>
      </c>
      <c r="AG222" s="115">
        <f t="shared" si="384"/>
        <v>0</v>
      </c>
      <c r="AH222" s="116">
        <f t="shared" si="385"/>
        <v>0</v>
      </c>
      <c r="AI222" s="97">
        <f t="shared" si="397"/>
        <v>0</v>
      </c>
      <c r="AJ222" s="9"/>
      <c r="AK222" s="9">
        <f>GFA!AJ223</f>
        <v>0</v>
      </c>
      <c r="AL222" s="9">
        <f>GFA!AL223</f>
        <v>0</v>
      </c>
      <c r="AM222" s="97">
        <f t="shared" si="386"/>
        <v>0</v>
      </c>
      <c r="AN222" s="9">
        <f t="shared" si="387"/>
        <v>0</v>
      </c>
      <c r="AO222" s="115">
        <f t="shared" si="388"/>
        <v>0</v>
      </c>
      <c r="AP222" s="116">
        <f t="shared" si="389"/>
        <v>0</v>
      </c>
      <c r="AQ222" s="97">
        <f t="shared" si="398"/>
        <v>0</v>
      </c>
      <c r="AR222" s="9"/>
      <c r="AS222" s="9">
        <f>GFA!AR223</f>
        <v>0</v>
      </c>
      <c r="AT222" s="9">
        <f>GFA!AT223</f>
        <v>0</v>
      </c>
      <c r="AU222" s="97">
        <f t="shared" si="390"/>
        <v>0</v>
      </c>
      <c r="AV222" s="9">
        <f t="shared" si="391"/>
        <v>0</v>
      </c>
      <c r="AW222" s="115">
        <f t="shared" si="392"/>
        <v>0</v>
      </c>
      <c r="AX222" s="116">
        <f t="shared" si="393"/>
        <v>0</v>
      </c>
      <c r="AY222" s="97">
        <f t="shared" si="399"/>
        <v>0</v>
      </c>
    </row>
    <row r="223" spans="2:51" x14ac:dyDescent="0.35">
      <c r="B223" s="7" t="s">
        <v>141</v>
      </c>
      <c r="C223" s="14">
        <v>5.28E-2</v>
      </c>
      <c r="D223" s="9"/>
      <c r="E223" s="9">
        <f>GFA!D224</f>
        <v>0</v>
      </c>
      <c r="F223" s="9">
        <f>GFA!F224</f>
        <v>0</v>
      </c>
      <c r="G223" s="97">
        <f t="shared" si="371"/>
        <v>0</v>
      </c>
      <c r="H223" s="9">
        <v>0</v>
      </c>
      <c r="I223" s="115">
        <f t="shared" si="372"/>
        <v>0</v>
      </c>
      <c r="J223" s="116">
        <f t="shared" si="373"/>
        <v>0</v>
      </c>
      <c r="K223" s="97">
        <f t="shared" si="394"/>
        <v>0</v>
      </c>
      <c r="L223" s="9"/>
      <c r="M223" s="9">
        <f>GFA!L224</f>
        <v>0</v>
      </c>
      <c r="N223" s="9">
        <f>GFA!N224</f>
        <v>0</v>
      </c>
      <c r="O223" s="97">
        <f t="shared" si="374"/>
        <v>0</v>
      </c>
      <c r="P223" s="9">
        <f t="shared" si="375"/>
        <v>0</v>
      </c>
      <c r="Q223" s="115">
        <f t="shared" si="376"/>
        <v>0</v>
      </c>
      <c r="R223" s="116">
        <f t="shared" si="377"/>
        <v>0</v>
      </c>
      <c r="S223" s="97">
        <f t="shared" si="395"/>
        <v>0</v>
      </c>
      <c r="T223" s="9"/>
      <c r="U223" s="9">
        <f>GFA!T224</f>
        <v>0</v>
      </c>
      <c r="V223" s="9">
        <f>GFA!V224</f>
        <v>0</v>
      </c>
      <c r="W223" s="97">
        <f t="shared" si="378"/>
        <v>0</v>
      </c>
      <c r="X223" s="9">
        <f t="shared" si="379"/>
        <v>0</v>
      </c>
      <c r="Y223" s="115">
        <f t="shared" si="380"/>
        <v>0</v>
      </c>
      <c r="Z223" s="116">
        <f t="shared" si="381"/>
        <v>0</v>
      </c>
      <c r="AA223" s="97">
        <f t="shared" si="396"/>
        <v>0</v>
      </c>
      <c r="AB223" s="9"/>
      <c r="AC223" s="9">
        <f>GFA!AB224</f>
        <v>0</v>
      </c>
      <c r="AD223" s="9">
        <f>GFA!AD224</f>
        <v>0</v>
      </c>
      <c r="AE223" s="97">
        <f t="shared" si="382"/>
        <v>0</v>
      </c>
      <c r="AF223" s="9">
        <f t="shared" si="383"/>
        <v>0</v>
      </c>
      <c r="AG223" s="115">
        <f t="shared" si="384"/>
        <v>0</v>
      </c>
      <c r="AH223" s="116">
        <f t="shared" si="385"/>
        <v>0</v>
      </c>
      <c r="AI223" s="97">
        <f t="shared" si="397"/>
        <v>0</v>
      </c>
      <c r="AJ223" s="9"/>
      <c r="AK223" s="9">
        <f>GFA!AJ224</f>
        <v>0</v>
      </c>
      <c r="AL223" s="9">
        <f>GFA!AL224</f>
        <v>0</v>
      </c>
      <c r="AM223" s="97">
        <f t="shared" si="386"/>
        <v>0</v>
      </c>
      <c r="AN223" s="9">
        <f t="shared" si="387"/>
        <v>0</v>
      </c>
      <c r="AO223" s="115">
        <f t="shared" si="388"/>
        <v>0</v>
      </c>
      <c r="AP223" s="116">
        <f t="shared" si="389"/>
        <v>0</v>
      </c>
      <c r="AQ223" s="97">
        <f t="shared" si="398"/>
        <v>0</v>
      </c>
      <c r="AR223" s="9"/>
      <c r="AS223" s="9">
        <f>GFA!AR224</f>
        <v>0</v>
      </c>
      <c r="AT223" s="9">
        <f>GFA!AT224</f>
        <v>0</v>
      </c>
      <c r="AU223" s="97">
        <f t="shared" si="390"/>
        <v>0</v>
      </c>
      <c r="AV223" s="9">
        <f t="shared" si="391"/>
        <v>0</v>
      </c>
      <c r="AW223" s="115">
        <f t="shared" si="392"/>
        <v>0</v>
      </c>
      <c r="AX223" s="116">
        <f t="shared" si="393"/>
        <v>0</v>
      </c>
      <c r="AY223" s="97">
        <f t="shared" si="399"/>
        <v>0</v>
      </c>
    </row>
    <row r="224" spans="2:51" x14ac:dyDescent="0.35">
      <c r="B224" s="7" t="s">
        <v>142</v>
      </c>
      <c r="C224" s="14">
        <v>9.5000000000000001E-2</v>
      </c>
      <c r="D224" s="9"/>
      <c r="E224" s="9">
        <f>GFA!D225</f>
        <v>0</v>
      </c>
      <c r="F224" s="9">
        <f>GFA!F225</f>
        <v>1.3109362825690662</v>
      </c>
      <c r="G224" s="97">
        <f t="shared" si="371"/>
        <v>1.1798426543121596</v>
      </c>
      <c r="H224" s="9">
        <v>0</v>
      </c>
      <c r="I224" s="115">
        <f t="shared" si="372"/>
        <v>0</v>
      </c>
      <c r="J224" s="116">
        <f t="shared" si="373"/>
        <v>1.1798426543121596</v>
      </c>
      <c r="K224" s="97">
        <f t="shared" si="394"/>
        <v>6.2269473422030645E-2</v>
      </c>
      <c r="L224" s="9"/>
      <c r="M224" s="9">
        <f>GFA!L225</f>
        <v>1.3109362825690662</v>
      </c>
      <c r="N224" s="9">
        <f>GFA!N225</f>
        <v>0.73539799947243711</v>
      </c>
      <c r="O224" s="97">
        <f t="shared" si="374"/>
        <v>1.8417008538373532</v>
      </c>
      <c r="P224" s="9">
        <f t="shared" si="375"/>
        <v>6.2269473422030645E-2</v>
      </c>
      <c r="Q224" s="115">
        <f t="shared" si="376"/>
        <v>3.3810851144628874E-2</v>
      </c>
      <c r="R224" s="116">
        <f t="shared" si="377"/>
        <v>1.7794313804153226</v>
      </c>
      <c r="S224" s="97">
        <f t="shared" si="395"/>
        <v>0.15947035181900207</v>
      </c>
      <c r="T224" s="9"/>
      <c r="U224" s="9">
        <f>GFA!T225</f>
        <v>2.0463342820415034</v>
      </c>
      <c r="V224" s="9">
        <f>GFA!V225</f>
        <v>0.76922944432990192</v>
      </c>
      <c r="W224" s="97">
        <f t="shared" si="378"/>
        <v>2.5340073537342649</v>
      </c>
      <c r="X224" s="9">
        <f t="shared" si="379"/>
        <v>0.22173982524103272</v>
      </c>
      <c r="Y224" s="115">
        <f t="shared" si="380"/>
        <v>8.7505596585686171E-2</v>
      </c>
      <c r="Z224" s="116">
        <f t="shared" si="381"/>
        <v>2.3122675284932321</v>
      </c>
      <c r="AA224" s="97">
        <f t="shared" si="396"/>
        <v>0.23094015539961316</v>
      </c>
      <c r="AB224" s="9"/>
      <c r="AC224" s="9">
        <f>GFA!AB225</f>
        <v>2.8155637263714053</v>
      </c>
      <c r="AD224" s="9">
        <f>GFA!AD225</f>
        <v>0</v>
      </c>
      <c r="AE224" s="97">
        <f t="shared" si="382"/>
        <v>2.5340073537342649</v>
      </c>
      <c r="AF224" s="9">
        <f t="shared" si="383"/>
        <v>0.45267998064064585</v>
      </c>
      <c r="AG224" s="115">
        <f t="shared" si="384"/>
        <v>0.17864193644645487</v>
      </c>
      <c r="AH224" s="116">
        <f t="shared" si="385"/>
        <v>2.081327373093619</v>
      </c>
      <c r="AI224" s="97">
        <f t="shared" si="397"/>
        <v>0.26747855400528353</v>
      </c>
      <c r="AJ224" s="9"/>
      <c r="AK224" s="9">
        <f>GFA!AJ225</f>
        <v>2.8155637263714053</v>
      </c>
      <c r="AL224" s="9">
        <f>GFA!AL225</f>
        <v>0</v>
      </c>
      <c r="AM224" s="97">
        <f t="shared" si="386"/>
        <v>2.5340073537342649</v>
      </c>
      <c r="AN224" s="9">
        <f t="shared" si="387"/>
        <v>0.72015853464592938</v>
      </c>
      <c r="AO224" s="115">
        <f t="shared" si="388"/>
        <v>0.28419749200201044</v>
      </c>
      <c r="AP224" s="116">
        <f t="shared" si="389"/>
        <v>1.8138488190883355</v>
      </c>
      <c r="AQ224" s="97">
        <f t="shared" si="398"/>
        <v>0.26747855400528353</v>
      </c>
      <c r="AR224" s="9"/>
      <c r="AS224" s="9">
        <f>GFA!AR225</f>
        <v>2.8155637263714053</v>
      </c>
      <c r="AT224" s="9">
        <f>GFA!AT225</f>
        <v>0</v>
      </c>
      <c r="AU224" s="97">
        <f t="shared" si="390"/>
        <v>2.5340073537342649</v>
      </c>
      <c r="AV224" s="9">
        <f t="shared" si="391"/>
        <v>0.98763708865121291</v>
      </c>
      <c r="AW224" s="115">
        <f t="shared" si="392"/>
        <v>0.38975304755756601</v>
      </c>
      <c r="AX224" s="116">
        <f t="shared" si="393"/>
        <v>1.546370265083052</v>
      </c>
      <c r="AY224" s="97">
        <f t="shared" si="399"/>
        <v>0.26747855400528353</v>
      </c>
    </row>
    <row r="225" spans="2:51" x14ac:dyDescent="0.35">
      <c r="B225" s="7" t="s">
        <v>143</v>
      </c>
      <c r="C225" s="14">
        <v>6.3299999999999995E-2</v>
      </c>
      <c r="D225" s="9"/>
      <c r="E225" s="9">
        <f>GFA!D226</f>
        <v>0</v>
      </c>
      <c r="F225" s="9">
        <f>GFA!F226</f>
        <v>0.25116622366132807</v>
      </c>
      <c r="G225" s="97">
        <f t="shared" si="371"/>
        <v>0.22604960129519527</v>
      </c>
      <c r="H225" s="9">
        <v>0</v>
      </c>
      <c r="I225" s="115">
        <f t="shared" si="372"/>
        <v>0</v>
      </c>
      <c r="J225" s="116">
        <f t="shared" si="373"/>
        <v>0.22604960129519527</v>
      </c>
      <c r="K225" s="97">
        <f t="shared" si="394"/>
        <v>7.9494109788810323E-3</v>
      </c>
      <c r="L225" s="9"/>
      <c r="M225" s="9">
        <f>GFA!L226</f>
        <v>0.25116622366132807</v>
      </c>
      <c r="N225" s="9">
        <f>GFA!N226</f>
        <v>0</v>
      </c>
      <c r="O225" s="97">
        <f t="shared" si="374"/>
        <v>0.22604960129519527</v>
      </c>
      <c r="P225" s="9">
        <f t="shared" si="375"/>
        <v>7.9494109788810323E-3</v>
      </c>
      <c r="Q225" s="115">
        <f t="shared" si="376"/>
        <v>3.5166666666666659E-2</v>
      </c>
      <c r="R225" s="116">
        <f t="shared" si="377"/>
        <v>0.21810019031631425</v>
      </c>
      <c r="S225" s="97">
        <f t="shared" si="395"/>
        <v>1.5898821957762065E-2</v>
      </c>
      <c r="T225" s="9"/>
      <c r="U225" s="9">
        <f>GFA!T226</f>
        <v>0.25116622366132807</v>
      </c>
      <c r="V225" s="9">
        <f>GFA!V226</f>
        <v>0.1845943089600996</v>
      </c>
      <c r="W225" s="97">
        <f t="shared" si="378"/>
        <v>0.39218447935928491</v>
      </c>
      <c r="X225" s="9">
        <f t="shared" si="379"/>
        <v>2.3848232936643097E-2</v>
      </c>
      <c r="Y225" s="115">
        <f t="shared" si="380"/>
        <v>6.0808711695078184E-2</v>
      </c>
      <c r="Z225" s="116">
        <f t="shared" si="381"/>
        <v>0.36833624642264179</v>
      </c>
      <c r="AA225" s="97">
        <f t="shared" si="396"/>
        <v>2.1741231836349215E-2</v>
      </c>
      <c r="AB225" s="9"/>
      <c r="AC225" s="9">
        <f>GFA!AB226</f>
        <v>0.43576053262142767</v>
      </c>
      <c r="AD225" s="9">
        <f>GFA!AD226</f>
        <v>0</v>
      </c>
      <c r="AE225" s="97">
        <f t="shared" si="382"/>
        <v>0.39218447935928491</v>
      </c>
      <c r="AF225" s="9">
        <f t="shared" si="383"/>
        <v>4.5589464772992312E-2</v>
      </c>
      <c r="AG225" s="115">
        <f t="shared" si="384"/>
        <v>0.11624494892677091</v>
      </c>
      <c r="AH225" s="116">
        <f t="shared" si="385"/>
        <v>0.3465950145862926</v>
      </c>
      <c r="AI225" s="97">
        <f t="shared" si="397"/>
        <v>2.758364171493637E-2</v>
      </c>
      <c r="AJ225" s="9"/>
      <c r="AK225" s="9">
        <f>GFA!AJ226</f>
        <v>0.43576053262142767</v>
      </c>
      <c r="AL225" s="9">
        <f>GFA!AL226</f>
        <v>0</v>
      </c>
      <c r="AM225" s="97">
        <f t="shared" si="386"/>
        <v>0.39218447935928491</v>
      </c>
      <c r="AN225" s="9">
        <f t="shared" si="387"/>
        <v>7.3173106487928685E-2</v>
      </c>
      <c r="AO225" s="115">
        <f t="shared" si="388"/>
        <v>0.18657828226010423</v>
      </c>
      <c r="AP225" s="116">
        <f t="shared" si="389"/>
        <v>0.31901137287135622</v>
      </c>
      <c r="AQ225" s="97">
        <f t="shared" si="398"/>
        <v>2.758364171493637E-2</v>
      </c>
      <c r="AR225" s="9"/>
      <c r="AS225" s="9">
        <f>GFA!AR226</f>
        <v>0.43576053262142767</v>
      </c>
      <c r="AT225" s="9">
        <f>GFA!AT226</f>
        <v>0</v>
      </c>
      <c r="AU225" s="97">
        <f t="shared" si="390"/>
        <v>0.39218447935928491</v>
      </c>
      <c r="AV225" s="9">
        <f t="shared" si="391"/>
        <v>0.10075674820286505</v>
      </c>
      <c r="AW225" s="115">
        <f t="shared" si="392"/>
        <v>0.25691161559343756</v>
      </c>
      <c r="AX225" s="116">
        <f t="shared" si="393"/>
        <v>0.29142773115641984</v>
      </c>
      <c r="AY225" s="97">
        <f t="shared" si="399"/>
        <v>2.758364171493637E-2</v>
      </c>
    </row>
    <row r="226" spans="2:51" x14ac:dyDescent="0.35">
      <c r="B226" s="7" t="s">
        <v>144</v>
      </c>
      <c r="C226" s="14">
        <v>6.3299999999999995E-2</v>
      </c>
      <c r="D226" s="9"/>
      <c r="E226" s="9">
        <f>GFA!D227</f>
        <v>0</v>
      </c>
      <c r="F226" s="9">
        <f>GFA!F227</f>
        <v>0.83942314049266564</v>
      </c>
      <c r="G226" s="97">
        <f t="shared" si="371"/>
        <v>0.75548082644339909</v>
      </c>
      <c r="H226" s="9">
        <v>0</v>
      </c>
      <c r="I226" s="115">
        <f t="shared" si="372"/>
        <v>0</v>
      </c>
      <c r="J226" s="116">
        <f t="shared" si="373"/>
        <v>0.75548082644339909</v>
      </c>
      <c r="K226" s="97">
        <f t="shared" si="394"/>
        <v>2.6567742396592865E-2</v>
      </c>
      <c r="L226" s="9"/>
      <c r="M226" s="9">
        <f>GFA!L227</f>
        <v>0.83942314049266564</v>
      </c>
      <c r="N226" s="9">
        <f>GFA!N227</f>
        <v>0.26588798554915116</v>
      </c>
      <c r="O226" s="97">
        <f t="shared" si="374"/>
        <v>0.99478001343763522</v>
      </c>
      <c r="P226" s="9">
        <f t="shared" si="375"/>
        <v>2.6567742396592865E-2</v>
      </c>
      <c r="Q226" s="115">
        <f t="shared" si="376"/>
        <v>2.6707153378346851E-2</v>
      </c>
      <c r="R226" s="116">
        <f t="shared" si="377"/>
        <v>0.96821227104104235</v>
      </c>
      <c r="S226" s="97">
        <f t="shared" si="395"/>
        <v>6.1550839535816367E-2</v>
      </c>
      <c r="T226" s="9"/>
      <c r="U226" s="9">
        <f>GFA!T227</f>
        <v>1.1053111260418169</v>
      </c>
      <c r="V226" s="9">
        <f>GFA!V227</f>
        <v>9.3277413435233852E-2</v>
      </c>
      <c r="W226" s="97">
        <f t="shared" si="378"/>
        <v>1.0787296855293458</v>
      </c>
      <c r="X226" s="9">
        <f t="shared" si="379"/>
        <v>8.8118581932409235E-2</v>
      </c>
      <c r="Y226" s="115">
        <f t="shared" si="380"/>
        <v>8.1687361638859854E-2</v>
      </c>
      <c r="Z226" s="116">
        <f t="shared" si="381"/>
        <v>0.99061110359693649</v>
      </c>
      <c r="AA226" s="97">
        <f t="shared" si="396"/>
        <v>7.2918424413672148E-2</v>
      </c>
      <c r="AB226" s="9"/>
      <c r="AC226" s="9">
        <f>GFA!AB227</f>
        <v>1.1985885394770508</v>
      </c>
      <c r="AD226" s="9">
        <f>GFA!AD227</f>
        <v>0</v>
      </c>
      <c r="AE226" s="97">
        <f t="shared" si="382"/>
        <v>1.0787296855293458</v>
      </c>
      <c r="AF226" s="9">
        <f t="shared" si="383"/>
        <v>0.16103700634608137</v>
      </c>
      <c r="AG226" s="115">
        <f t="shared" si="384"/>
        <v>0.14928392952035852</v>
      </c>
      <c r="AH226" s="116">
        <f t="shared" si="385"/>
        <v>0.91769267918326447</v>
      </c>
      <c r="AI226" s="97">
        <f t="shared" si="397"/>
        <v>7.5870654548897312E-2</v>
      </c>
      <c r="AJ226" s="9"/>
      <c r="AK226" s="9">
        <f>GFA!AJ227</f>
        <v>1.1985885394770508</v>
      </c>
      <c r="AL226" s="9">
        <f>GFA!AL227</f>
        <v>0</v>
      </c>
      <c r="AM226" s="97">
        <f t="shared" si="386"/>
        <v>1.0787296855293458</v>
      </c>
      <c r="AN226" s="9">
        <f t="shared" si="387"/>
        <v>0.23690766089497867</v>
      </c>
      <c r="AO226" s="115">
        <f t="shared" si="388"/>
        <v>0.21961726285369185</v>
      </c>
      <c r="AP226" s="116">
        <f t="shared" si="389"/>
        <v>0.84182202463436706</v>
      </c>
      <c r="AQ226" s="97">
        <f t="shared" si="398"/>
        <v>7.5870654548897312E-2</v>
      </c>
      <c r="AR226" s="9"/>
      <c r="AS226" s="9">
        <f>GFA!AR227</f>
        <v>1.1985885394770508</v>
      </c>
      <c r="AT226" s="9">
        <f>GFA!AT227</f>
        <v>0</v>
      </c>
      <c r="AU226" s="97">
        <f t="shared" si="390"/>
        <v>1.0787296855293458</v>
      </c>
      <c r="AV226" s="9">
        <f t="shared" si="391"/>
        <v>0.31277831544387596</v>
      </c>
      <c r="AW226" s="115">
        <f t="shared" si="392"/>
        <v>0.28995059618702512</v>
      </c>
      <c r="AX226" s="116">
        <f t="shared" si="393"/>
        <v>0.76595137008546987</v>
      </c>
      <c r="AY226" s="97">
        <f t="shared" si="399"/>
        <v>7.5870654548897312E-2</v>
      </c>
    </row>
    <row r="227" spans="2:51" x14ac:dyDescent="0.35">
      <c r="B227" s="7" t="s">
        <v>145</v>
      </c>
      <c r="C227" s="14">
        <v>6.3299999999999995E-2</v>
      </c>
      <c r="D227" s="9"/>
      <c r="E227" s="9">
        <f>GFA!D228</f>
        <v>0</v>
      </c>
      <c r="F227" s="9">
        <f>GFA!F228</f>
        <v>0</v>
      </c>
      <c r="G227" s="97">
        <f t="shared" si="371"/>
        <v>0</v>
      </c>
      <c r="H227" s="9">
        <v>0</v>
      </c>
      <c r="I227" s="115">
        <f t="shared" si="372"/>
        <v>0</v>
      </c>
      <c r="J227" s="116">
        <f t="shared" si="373"/>
        <v>0</v>
      </c>
      <c r="K227" s="97">
        <f t="shared" si="394"/>
        <v>0</v>
      </c>
      <c r="L227" s="9"/>
      <c r="M227" s="9">
        <f>GFA!L228</f>
        <v>0</v>
      </c>
      <c r="N227" s="9">
        <f>GFA!N228</f>
        <v>0</v>
      </c>
      <c r="O227" s="97">
        <f t="shared" si="374"/>
        <v>0</v>
      </c>
      <c r="P227" s="9">
        <f t="shared" si="375"/>
        <v>0</v>
      </c>
      <c r="Q227" s="115">
        <f t="shared" si="376"/>
        <v>0</v>
      </c>
      <c r="R227" s="116">
        <f t="shared" si="377"/>
        <v>0</v>
      </c>
      <c r="S227" s="97">
        <f t="shared" si="395"/>
        <v>0</v>
      </c>
      <c r="T227" s="9"/>
      <c r="U227" s="9">
        <f>GFA!T228</f>
        <v>0</v>
      </c>
      <c r="V227" s="9">
        <f>GFA!V228</f>
        <v>0</v>
      </c>
      <c r="W227" s="97">
        <f t="shared" si="378"/>
        <v>0</v>
      </c>
      <c r="X227" s="9">
        <f t="shared" si="379"/>
        <v>0</v>
      </c>
      <c r="Y227" s="115">
        <f t="shared" si="380"/>
        <v>0</v>
      </c>
      <c r="Z227" s="116">
        <f t="shared" si="381"/>
        <v>0</v>
      </c>
      <c r="AA227" s="97">
        <f t="shared" si="396"/>
        <v>0</v>
      </c>
      <c r="AB227" s="9"/>
      <c r="AC227" s="9">
        <f>GFA!AB228</f>
        <v>0</v>
      </c>
      <c r="AD227" s="9">
        <f>GFA!AD228</f>
        <v>0</v>
      </c>
      <c r="AE227" s="97">
        <f t="shared" si="382"/>
        <v>0</v>
      </c>
      <c r="AF227" s="9">
        <f t="shared" si="383"/>
        <v>0</v>
      </c>
      <c r="AG227" s="115">
        <f t="shared" si="384"/>
        <v>0</v>
      </c>
      <c r="AH227" s="116">
        <f t="shared" si="385"/>
        <v>0</v>
      </c>
      <c r="AI227" s="97">
        <f t="shared" si="397"/>
        <v>0</v>
      </c>
      <c r="AJ227" s="9"/>
      <c r="AK227" s="9">
        <f>GFA!AJ228</f>
        <v>0</v>
      </c>
      <c r="AL227" s="9">
        <f>GFA!AL228</f>
        <v>0</v>
      </c>
      <c r="AM227" s="97">
        <f t="shared" si="386"/>
        <v>0</v>
      </c>
      <c r="AN227" s="9">
        <f t="shared" si="387"/>
        <v>0</v>
      </c>
      <c r="AO227" s="115">
        <f t="shared" si="388"/>
        <v>0</v>
      </c>
      <c r="AP227" s="116">
        <f t="shared" si="389"/>
        <v>0</v>
      </c>
      <c r="AQ227" s="97">
        <f t="shared" si="398"/>
        <v>0</v>
      </c>
      <c r="AR227" s="9"/>
      <c r="AS227" s="9">
        <f>GFA!AR228</f>
        <v>0</v>
      </c>
      <c r="AT227" s="9">
        <f>GFA!AT228</f>
        <v>0</v>
      </c>
      <c r="AU227" s="97">
        <f t="shared" si="390"/>
        <v>0</v>
      </c>
      <c r="AV227" s="9">
        <f t="shared" si="391"/>
        <v>0</v>
      </c>
      <c r="AW227" s="115">
        <f t="shared" si="392"/>
        <v>0</v>
      </c>
      <c r="AX227" s="116">
        <f t="shared" si="393"/>
        <v>0</v>
      </c>
      <c r="AY227" s="97">
        <f t="shared" si="399"/>
        <v>0</v>
      </c>
    </row>
    <row r="228" spans="2:51" x14ac:dyDescent="0.35">
      <c r="B228" s="7" t="s">
        <v>146</v>
      </c>
      <c r="C228" s="14">
        <v>0.15</v>
      </c>
      <c r="D228" s="9"/>
      <c r="E228" s="9">
        <f>GFA!D229</f>
        <v>0</v>
      </c>
      <c r="F228" s="9">
        <f>GFA!F229</f>
        <v>0</v>
      </c>
      <c r="G228" s="97">
        <f t="shared" si="371"/>
        <v>0</v>
      </c>
      <c r="H228" s="9">
        <v>0</v>
      </c>
      <c r="I228" s="115">
        <f t="shared" si="372"/>
        <v>0</v>
      </c>
      <c r="J228" s="116">
        <f t="shared" si="373"/>
        <v>0</v>
      </c>
      <c r="K228" s="97">
        <f t="shared" si="394"/>
        <v>0</v>
      </c>
      <c r="L228" s="9"/>
      <c r="M228" s="9">
        <f>GFA!L229</f>
        <v>0</v>
      </c>
      <c r="N228" s="9">
        <f>GFA!N229</f>
        <v>0</v>
      </c>
      <c r="O228" s="97">
        <f t="shared" si="374"/>
        <v>0</v>
      </c>
      <c r="P228" s="9">
        <f t="shared" si="375"/>
        <v>0</v>
      </c>
      <c r="Q228" s="115">
        <f t="shared" si="376"/>
        <v>0</v>
      </c>
      <c r="R228" s="116">
        <f t="shared" si="377"/>
        <v>0</v>
      </c>
      <c r="S228" s="97">
        <f t="shared" si="395"/>
        <v>0</v>
      </c>
      <c r="T228" s="9"/>
      <c r="U228" s="9">
        <f>GFA!T229</f>
        <v>0</v>
      </c>
      <c r="V228" s="9">
        <f>GFA!V229</f>
        <v>0</v>
      </c>
      <c r="W228" s="97">
        <f t="shared" si="378"/>
        <v>0</v>
      </c>
      <c r="X228" s="9">
        <f t="shared" si="379"/>
        <v>0</v>
      </c>
      <c r="Y228" s="115">
        <f t="shared" si="380"/>
        <v>0</v>
      </c>
      <c r="Z228" s="116">
        <f t="shared" si="381"/>
        <v>0</v>
      </c>
      <c r="AA228" s="97">
        <f t="shared" si="396"/>
        <v>0</v>
      </c>
      <c r="AB228" s="9"/>
      <c r="AC228" s="9">
        <f>GFA!AB229</f>
        <v>0</v>
      </c>
      <c r="AD228" s="9">
        <f>GFA!AD229</f>
        <v>0</v>
      </c>
      <c r="AE228" s="97">
        <f t="shared" si="382"/>
        <v>0</v>
      </c>
      <c r="AF228" s="9">
        <f t="shared" si="383"/>
        <v>0</v>
      </c>
      <c r="AG228" s="115">
        <f t="shared" si="384"/>
        <v>0</v>
      </c>
      <c r="AH228" s="116">
        <f t="shared" si="385"/>
        <v>0</v>
      </c>
      <c r="AI228" s="97">
        <f t="shared" si="397"/>
        <v>0</v>
      </c>
      <c r="AJ228" s="9"/>
      <c r="AK228" s="9">
        <f>GFA!AJ229</f>
        <v>0</v>
      </c>
      <c r="AL228" s="9">
        <f>GFA!AL229</f>
        <v>0</v>
      </c>
      <c r="AM228" s="97">
        <f t="shared" si="386"/>
        <v>0</v>
      </c>
      <c r="AN228" s="9">
        <f t="shared" si="387"/>
        <v>0</v>
      </c>
      <c r="AO228" s="115">
        <f t="shared" si="388"/>
        <v>0</v>
      </c>
      <c r="AP228" s="116">
        <f t="shared" si="389"/>
        <v>0</v>
      </c>
      <c r="AQ228" s="97">
        <f t="shared" si="398"/>
        <v>0</v>
      </c>
      <c r="AR228" s="9"/>
      <c r="AS228" s="9">
        <f>GFA!AR229</f>
        <v>0</v>
      </c>
      <c r="AT228" s="9">
        <f>GFA!AT229</f>
        <v>0</v>
      </c>
      <c r="AU228" s="97">
        <f t="shared" si="390"/>
        <v>0</v>
      </c>
      <c r="AV228" s="9">
        <f t="shared" si="391"/>
        <v>0</v>
      </c>
      <c r="AW228" s="115">
        <f t="shared" si="392"/>
        <v>0</v>
      </c>
      <c r="AX228" s="116">
        <f t="shared" si="393"/>
        <v>0</v>
      </c>
      <c r="AY228" s="97">
        <f t="shared" si="399"/>
        <v>0</v>
      </c>
    </row>
    <row r="229" spans="2:51" x14ac:dyDescent="0.35">
      <c r="B229" s="7" t="s">
        <v>147</v>
      </c>
      <c r="C229" s="14">
        <v>0.3</v>
      </c>
      <c r="D229" s="9"/>
      <c r="E229" s="9">
        <f>GFA!D230</f>
        <v>0</v>
      </c>
      <c r="F229" s="9">
        <f>GFA!F230</f>
        <v>0.13969120425191789</v>
      </c>
      <c r="G229" s="97">
        <f t="shared" si="371"/>
        <v>0.12572208382672612</v>
      </c>
      <c r="H229" s="9">
        <v>0</v>
      </c>
      <c r="I229" s="115">
        <f t="shared" si="372"/>
        <v>0</v>
      </c>
      <c r="J229" s="116">
        <f t="shared" si="373"/>
        <v>0.12572208382672612</v>
      </c>
      <c r="K229" s="97">
        <f t="shared" si="394"/>
        <v>2.0953680637787683E-2</v>
      </c>
      <c r="L229" s="9"/>
      <c r="M229" s="9">
        <f>GFA!L230</f>
        <v>0.13969120425191789</v>
      </c>
      <c r="N229" s="9">
        <f>GFA!N230</f>
        <v>0.11204825535086731</v>
      </c>
      <c r="O229" s="97">
        <f t="shared" si="374"/>
        <v>0.22656551364250668</v>
      </c>
      <c r="P229" s="9">
        <f t="shared" si="375"/>
        <v>2.0953680637787683E-2</v>
      </c>
      <c r="Q229" s="115">
        <f t="shared" si="376"/>
        <v>9.2483980906512039E-2</v>
      </c>
      <c r="R229" s="116">
        <f t="shared" si="377"/>
        <v>0.205611833004719</v>
      </c>
      <c r="S229" s="97">
        <f t="shared" si="395"/>
        <v>5.8714599578205462E-2</v>
      </c>
      <c r="T229" s="9"/>
      <c r="U229" s="9">
        <f>GFA!T230</f>
        <v>0.25173945960278521</v>
      </c>
      <c r="V229" s="9">
        <f>GFA!V230</f>
        <v>0</v>
      </c>
      <c r="W229" s="97">
        <f t="shared" si="378"/>
        <v>0.22656551364250668</v>
      </c>
      <c r="X229" s="9">
        <f t="shared" si="379"/>
        <v>7.9668280215993148E-2</v>
      </c>
      <c r="Y229" s="115">
        <f t="shared" si="380"/>
        <v>0.35163462847969079</v>
      </c>
      <c r="Z229" s="116">
        <f t="shared" si="381"/>
        <v>0.14689723342651353</v>
      </c>
      <c r="AA229" s="97">
        <f t="shared" si="396"/>
        <v>7.5521837880835566E-2</v>
      </c>
      <c r="AB229" s="9"/>
      <c r="AC229" s="9">
        <f>GFA!AB230</f>
        <v>0.25173945960278521</v>
      </c>
      <c r="AD229" s="9">
        <f>GFA!AD230</f>
        <v>0</v>
      </c>
      <c r="AE229" s="97">
        <f t="shared" si="382"/>
        <v>0.22656551364250668</v>
      </c>
      <c r="AF229" s="9">
        <f t="shared" si="383"/>
        <v>0.1551901180968287</v>
      </c>
      <c r="AG229" s="115">
        <f t="shared" si="384"/>
        <v>0.68496796181302411</v>
      </c>
      <c r="AH229" s="116">
        <f t="shared" si="385"/>
        <v>7.1375395545677983E-2</v>
      </c>
      <c r="AI229" s="97">
        <f t="shared" si="397"/>
        <v>7.1375395545677983E-2</v>
      </c>
      <c r="AJ229" s="9"/>
      <c r="AK229" s="9">
        <f>GFA!AJ230</f>
        <v>0.25173945960278521</v>
      </c>
      <c r="AL229" s="9">
        <f>GFA!AL230</f>
        <v>0</v>
      </c>
      <c r="AM229" s="97">
        <f t="shared" si="386"/>
        <v>0.22656551364250668</v>
      </c>
      <c r="AN229" s="9">
        <f t="shared" si="387"/>
        <v>0.22656551364250668</v>
      </c>
      <c r="AO229" s="115">
        <f t="shared" si="388"/>
        <v>1</v>
      </c>
      <c r="AP229" s="116">
        <f t="shared" si="389"/>
        <v>0</v>
      </c>
      <c r="AQ229" s="97">
        <f t="shared" si="398"/>
        <v>0</v>
      </c>
      <c r="AR229" s="9"/>
      <c r="AS229" s="9">
        <f>GFA!AR230</f>
        <v>0.25173945960278521</v>
      </c>
      <c r="AT229" s="9">
        <f>GFA!AT230</f>
        <v>0</v>
      </c>
      <c r="AU229" s="97">
        <f t="shared" si="390"/>
        <v>0.22656551364250668</v>
      </c>
      <c r="AV229" s="9">
        <f t="shared" si="391"/>
        <v>0.22656551364250668</v>
      </c>
      <c r="AW229" s="115">
        <f t="shared" si="392"/>
        <v>1</v>
      </c>
      <c r="AX229" s="116">
        <f t="shared" si="393"/>
        <v>0</v>
      </c>
      <c r="AY229" s="97">
        <f t="shared" si="399"/>
        <v>0</v>
      </c>
    </row>
    <row r="230" spans="2:51" x14ac:dyDescent="0.35">
      <c r="B230" s="7" t="s">
        <v>148</v>
      </c>
      <c r="C230" s="14">
        <v>0.3</v>
      </c>
      <c r="D230" s="9"/>
      <c r="E230" s="9">
        <f>GFA!D231</f>
        <v>0</v>
      </c>
      <c r="F230" s="9">
        <f>GFA!F231</f>
        <v>0</v>
      </c>
      <c r="G230" s="97">
        <f t="shared" si="371"/>
        <v>0</v>
      </c>
      <c r="H230" s="9">
        <v>0</v>
      </c>
      <c r="I230" s="115">
        <f t="shared" si="372"/>
        <v>0</v>
      </c>
      <c r="J230" s="116">
        <f t="shared" si="373"/>
        <v>0</v>
      </c>
      <c r="K230" s="97">
        <f t="shared" si="394"/>
        <v>0</v>
      </c>
      <c r="L230" s="9"/>
      <c r="M230" s="9">
        <f>GFA!L231</f>
        <v>0</v>
      </c>
      <c r="N230" s="9">
        <f>GFA!N231</f>
        <v>0</v>
      </c>
      <c r="O230" s="97">
        <f t="shared" si="374"/>
        <v>0</v>
      </c>
      <c r="P230" s="9">
        <f t="shared" si="375"/>
        <v>0</v>
      </c>
      <c r="Q230" s="115">
        <f t="shared" si="376"/>
        <v>0</v>
      </c>
      <c r="R230" s="116">
        <f t="shared" si="377"/>
        <v>0</v>
      </c>
      <c r="S230" s="97">
        <f t="shared" si="395"/>
        <v>0</v>
      </c>
      <c r="T230" s="9"/>
      <c r="U230" s="9">
        <f>GFA!T231</f>
        <v>0</v>
      </c>
      <c r="V230" s="9">
        <f>GFA!V231</f>
        <v>0</v>
      </c>
      <c r="W230" s="97">
        <f t="shared" si="378"/>
        <v>0</v>
      </c>
      <c r="X230" s="9">
        <f t="shared" si="379"/>
        <v>0</v>
      </c>
      <c r="Y230" s="115">
        <f t="shared" si="380"/>
        <v>0</v>
      </c>
      <c r="Z230" s="116">
        <f t="shared" si="381"/>
        <v>0</v>
      </c>
      <c r="AA230" s="97">
        <f t="shared" si="396"/>
        <v>0</v>
      </c>
      <c r="AB230" s="9"/>
      <c r="AC230" s="9">
        <f>GFA!AB231</f>
        <v>0</v>
      </c>
      <c r="AD230" s="9">
        <f>GFA!AD231</f>
        <v>0</v>
      </c>
      <c r="AE230" s="97">
        <f t="shared" si="382"/>
        <v>0</v>
      </c>
      <c r="AF230" s="9">
        <f t="shared" si="383"/>
        <v>0</v>
      </c>
      <c r="AG230" s="115">
        <f t="shared" si="384"/>
        <v>0</v>
      </c>
      <c r="AH230" s="116">
        <f t="shared" si="385"/>
        <v>0</v>
      </c>
      <c r="AI230" s="97">
        <f t="shared" si="397"/>
        <v>0</v>
      </c>
      <c r="AJ230" s="9"/>
      <c r="AK230" s="9">
        <f>GFA!AJ231</f>
        <v>0</v>
      </c>
      <c r="AL230" s="9">
        <f>GFA!AL231</f>
        <v>0</v>
      </c>
      <c r="AM230" s="97">
        <f t="shared" si="386"/>
        <v>0</v>
      </c>
      <c r="AN230" s="9">
        <f t="shared" si="387"/>
        <v>0</v>
      </c>
      <c r="AO230" s="115">
        <f t="shared" si="388"/>
        <v>0</v>
      </c>
      <c r="AP230" s="116">
        <f t="shared" si="389"/>
        <v>0</v>
      </c>
      <c r="AQ230" s="97">
        <f t="shared" si="398"/>
        <v>0</v>
      </c>
      <c r="AR230" s="9"/>
      <c r="AS230" s="9">
        <f>GFA!AR231</f>
        <v>0</v>
      </c>
      <c r="AT230" s="9">
        <f>GFA!AT231</f>
        <v>0</v>
      </c>
      <c r="AU230" s="97">
        <f t="shared" si="390"/>
        <v>0</v>
      </c>
      <c r="AV230" s="9">
        <f t="shared" si="391"/>
        <v>0</v>
      </c>
      <c r="AW230" s="115">
        <f t="shared" si="392"/>
        <v>0</v>
      </c>
      <c r="AX230" s="116">
        <f t="shared" si="393"/>
        <v>0</v>
      </c>
      <c r="AY230" s="97">
        <f t="shared" si="399"/>
        <v>0</v>
      </c>
    </row>
    <row r="231" spans="2:51" ht="31" x14ac:dyDescent="0.35">
      <c r="B231" s="84" t="s">
        <v>149</v>
      </c>
      <c r="C231" s="117">
        <v>3.3399999999999999E-2</v>
      </c>
      <c r="D231" s="9"/>
      <c r="E231" s="9">
        <f>GFA!D232</f>
        <v>0</v>
      </c>
      <c r="F231" s="9">
        <f>GFA!F232</f>
        <v>0</v>
      </c>
      <c r="G231" s="97">
        <f t="shared" si="371"/>
        <v>0</v>
      </c>
      <c r="H231" s="9">
        <v>0</v>
      </c>
      <c r="I231" s="115">
        <f t="shared" si="372"/>
        <v>0</v>
      </c>
      <c r="J231" s="116">
        <f t="shared" si="373"/>
        <v>0</v>
      </c>
      <c r="K231" s="97">
        <f t="shared" si="394"/>
        <v>0</v>
      </c>
      <c r="L231" s="9"/>
      <c r="M231" s="9">
        <f>GFA!L232</f>
        <v>0</v>
      </c>
      <c r="N231" s="9">
        <f>GFA!N232</f>
        <v>0</v>
      </c>
      <c r="O231" s="97">
        <f t="shared" si="374"/>
        <v>0</v>
      </c>
      <c r="P231" s="9">
        <f t="shared" si="375"/>
        <v>0</v>
      </c>
      <c r="Q231" s="115">
        <f t="shared" si="376"/>
        <v>0</v>
      </c>
      <c r="R231" s="116">
        <f t="shared" si="377"/>
        <v>0</v>
      </c>
      <c r="S231" s="97">
        <f t="shared" si="395"/>
        <v>0</v>
      </c>
      <c r="T231" s="9"/>
      <c r="U231" s="9">
        <f>GFA!T232</f>
        <v>0</v>
      </c>
      <c r="V231" s="9">
        <f>GFA!V232</f>
        <v>0</v>
      </c>
      <c r="W231" s="97">
        <f t="shared" si="378"/>
        <v>0</v>
      </c>
      <c r="X231" s="9">
        <f t="shared" si="379"/>
        <v>0</v>
      </c>
      <c r="Y231" s="115">
        <f t="shared" si="380"/>
        <v>0</v>
      </c>
      <c r="Z231" s="116">
        <f t="shared" si="381"/>
        <v>0</v>
      </c>
      <c r="AA231" s="97">
        <f t="shared" si="396"/>
        <v>0</v>
      </c>
      <c r="AB231" s="9"/>
      <c r="AC231" s="9">
        <f>GFA!AB232</f>
        <v>0</v>
      </c>
      <c r="AD231" s="9">
        <f>GFA!AD232</f>
        <v>0</v>
      </c>
      <c r="AE231" s="97">
        <f t="shared" si="382"/>
        <v>0</v>
      </c>
      <c r="AF231" s="9">
        <f t="shared" si="383"/>
        <v>0</v>
      </c>
      <c r="AG231" s="115">
        <f t="shared" si="384"/>
        <v>0</v>
      </c>
      <c r="AH231" s="116">
        <f t="shared" si="385"/>
        <v>0</v>
      </c>
      <c r="AI231" s="97">
        <f t="shared" si="397"/>
        <v>0</v>
      </c>
      <c r="AJ231" s="9"/>
      <c r="AK231" s="9">
        <f>GFA!AJ232</f>
        <v>0</v>
      </c>
      <c r="AL231" s="9">
        <f>GFA!AL232</f>
        <v>0</v>
      </c>
      <c r="AM231" s="97">
        <f t="shared" si="386"/>
        <v>0</v>
      </c>
      <c r="AN231" s="9">
        <f t="shared" si="387"/>
        <v>0</v>
      </c>
      <c r="AO231" s="115">
        <f t="shared" si="388"/>
        <v>0</v>
      </c>
      <c r="AP231" s="116">
        <f t="shared" si="389"/>
        <v>0</v>
      </c>
      <c r="AQ231" s="97">
        <f t="shared" si="398"/>
        <v>0</v>
      </c>
      <c r="AR231" s="9"/>
      <c r="AS231" s="9">
        <f>GFA!AR232</f>
        <v>0</v>
      </c>
      <c r="AT231" s="9">
        <f>GFA!AT232</f>
        <v>0</v>
      </c>
      <c r="AU231" s="97">
        <f t="shared" si="390"/>
        <v>0</v>
      </c>
      <c r="AV231" s="9">
        <f t="shared" si="391"/>
        <v>0</v>
      </c>
      <c r="AW231" s="115">
        <f t="shared" si="392"/>
        <v>0</v>
      </c>
      <c r="AX231" s="116">
        <f t="shared" si="393"/>
        <v>0</v>
      </c>
      <c r="AY231" s="97">
        <f t="shared" si="399"/>
        <v>0</v>
      </c>
    </row>
    <row r="232" spans="2:51" x14ac:dyDescent="0.35">
      <c r="B232" s="12" t="s">
        <v>27</v>
      </c>
      <c r="C232" s="12"/>
      <c r="D232" s="13"/>
      <c r="E232" s="13">
        <f t="shared" ref="E232:AY232" si="400">SUM(E215:E231)</f>
        <v>12413.422826914333</v>
      </c>
      <c r="F232" s="13">
        <f t="shared" si="400"/>
        <v>214.99258282599993</v>
      </c>
      <c r="G232" s="13">
        <f t="shared" si="400"/>
        <v>11365.5738687663</v>
      </c>
      <c r="H232" s="13">
        <f t="shared" si="400"/>
        <v>1664.4791603036524</v>
      </c>
      <c r="I232" s="13"/>
      <c r="J232" s="13">
        <f t="shared" si="400"/>
        <v>9701.0947084626459</v>
      </c>
      <c r="K232" s="13">
        <f t="shared" si="400"/>
        <v>653.38591331472514</v>
      </c>
      <c r="L232" s="13"/>
      <c r="M232" s="13">
        <f t="shared" si="400"/>
        <v>12628.415409740333</v>
      </c>
      <c r="N232" s="13">
        <f t="shared" si="400"/>
        <v>209.07000000000002</v>
      </c>
      <c r="O232" s="13">
        <f t="shared" si="400"/>
        <v>11553.7368687663</v>
      </c>
      <c r="P232" s="13">
        <f t="shared" si="400"/>
        <v>2317.8650736183781</v>
      </c>
      <c r="Q232" s="13"/>
      <c r="R232" s="13">
        <f t="shared" si="400"/>
        <v>9235.871795147923</v>
      </c>
      <c r="S232" s="13">
        <f t="shared" si="400"/>
        <v>663.47516692293902</v>
      </c>
      <c r="T232" s="13"/>
      <c r="U232" s="13">
        <f t="shared" si="400"/>
        <v>12837.485409740335</v>
      </c>
      <c r="V232" s="13">
        <f t="shared" si="400"/>
        <v>245.18325191800011</v>
      </c>
      <c r="W232" s="13">
        <f t="shared" si="400"/>
        <v>11774.401795492497</v>
      </c>
      <c r="X232" s="13">
        <f t="shared" si="400"/>
        <v>2981.3402405413171</v>
      </c>
      <c r="Y232" s="13"/>
      <c r="Z232" s="13">
        <f t="shared" si="400"/>
        <v>8793.0615549511822</v>
      </c>
      <c r="AA232" s="13">
        <f t="shared" si="400"/>
        <v>674.55818643184034</v>
      </c>
      <c r="AB232" s="13"/>
      <c r="AC232" s="13">
        <f t="shared" si="400"/>
        <v>13082.668661658334</v>
      </c>
      <c r="AD232" s="13">
        <f t="shared" si="400"/>
        <v>306.92</v>
      </c>
      <c r="AE232" s="13">
        <f t="shared" si="400"/>
        <v>12050.629795492496</v>
      </c>
      <c r="AF232" s="13">
        <f t="shared" si="400"/>
        <v>3655.8984269731577</v>
      </c>
      <c r="AG232" s="13"/>
      <c r="AH232" s="13">
        <f t="shared" si="400"/>
        <v>8394.7313685193403</v>
      </c>
      <c r="AI232" s="13">
        <f t="shared" si="400"/>
        <v>689.01967483111218</v>
      </c>
      <c r="AJ232" s="13"/>
      <c r="AK232" s="13">
        <f t="shared" si="400"/>
        <v>13389.588661658334</v>
      </c>
      <c r="AL232" s="13">
        <f t="shared" si="400"/>
        <v>41.59</v>
      </c>
      <c r="AM232" s="13">
        <f t="shared" si="400"/>
        <v>12088.060795492496</v>
      </c>
      <c r="AN232" s="13">
        <f t="shared" si="400"/>
        <v>4344.9181018042691</v>
      </c>
      <c r="AO232" s="13"/>
      <c r="AP232" s="13">
        <f t="shared" si="400"/>
        <v>7743.1426936882299</v>
      </c>
      <c r="AQ232" s="13">
        <f t="shared" si="400"/>
        <v>698.14896343556643</v>
      </c>
      <c r="AR232" s="13"/>
      <c r="AS232" s="13">
        <f t="shared" si="400"/>
        <v>13431.178661658334</v>
      </c>
      <c r="AT232" s="13">
        <f t="shared" si="400"/>
        <v>997.00000000000011</v>
      </c>
      <c r="AU232" s="13">
        <f t="shared" si="400"/>
        <v>12985.360795492496</v>
      </c>
      <c r="AV232" s="13">
        <f t="shared" si="400"/>
        <v>5043.0670652398367</v>
      </c>
      <c r="AW232" s="13"/>
      <c r="AX232" s="13">
        <f t="shared" si="400"/>
        <v>7942.2937302526634</v>
      </c>
      <c r="AY232" s="13">
        <f t="shared" si="400"/>
        <v>725.56773943556652</v>
      </c>
    </row>
    <row r="233" spans="2:51" x14ac:dyDescent="0.35">
      <c r="B233" s="70" t="s">
        <v>159</v>
      </c>
      <c r="C233" s="70"/>
      <c r="D233" s="118">
        <v>22</v>
      </c>
      <c r="E233" s="7"/>
      <c r="F233" s="7"/>
      <c r="G233" s="7"/>
      <c r="H233" s="7"/>
      <c r="I233" s="7"/>
      <c r="J233" s="7"/>
      <c r="K233" s="7"/>
      <c r="L233" s="118">
        <f>D233-1</f>
        <v>21</v>
      </c>
      <c r="M233" s="7"/>
      <c r="N233" s="7"/>
      <c r="O233" s="7"/>
      <c r="P233" s="7"/>
      <c r="Q233" s="7"/>
      <c r="R233" s="7"/>
      <c r="S233" s="7"/>
      <c r="T233" s="118">
        <f>L233-1</f>
        <v>20</v>
      </c>
      <c r="U233" s="7"/>
      <c r="V233" s="7"/>
      <c r="W233" s="7"/>
      <c r="X233" s="7"/>
      <c r="Y233" s="7"/>
      <c r="Z233" s="7"/>
      <c r="AA233" s="7"/>
      <c r="AB233" s="118">
        <f>T233-1</f>
        <v>19</v>
      </c>
      <c r="AC233" s="7"/>
      <c r="AD233" s="7"/>
      <c r="AE233" s="7"/>
      <c r="AF233" s="7"/>
      <c r="AG233" s="7"/>
      <c r="AH233" s="7"/>
      <c r="AI233" s="7"/>
      <c r="AJ233" s="118">
        <f>AB233-1</f>
        <v>18</v>
      </c>
      <c r="AK233" s="7"/>
      <c r="AL233" s="7"/>
      <c r="AM233" s="7"/>
      <c r="AN233" s="7"/>
      <c r="AO233" s="7"/>
      <c r="AP233" s="7"/>
      <c r="AQ233" s="7"/>
      <c r="AR233" s="118">
        <f>AJ233-1</f>
        <v>17</v>
      </c>
      <c r="AS233" s="9"/>
      <c r="AT233" s="9"/>
      <c r="AU233" s="9"/>
      <c r="AV233" s="9"/>
      <c r="AW233" s="9"/>
      <c r="AX233" s="9"/>
      <c r="AY233" s="9"/>
    </row>
    <row r="234" spans="2:51" x14ac:dyDescent="0.35">
      <c r="B234" s="7" t="s">
        <v>133</v>
      </c>
      <c r="C234" s="14">
        <v>0</v>
      </c>
      <c r="D234" s="9"/>
      <c r="E234" s="9">
        <f>GFA!D235</f>
        <v>0</v>
      </c>
      <c r="F234" s="9">
        <f>GFA!F235</f>
        <v>0</v>
      </c>
      <c r="G234" s="97">
        <f t="shared" ref="G234:G250" si="401">90%*(E234+F234)</f>
        <v>0</v>
      </c>
      <c r="H234" s="9">
        <v>0</v>
      </c>
      <c r="I234" s="115">
        <f t="shared" ref="I234:I250" si="402">IFERROR(H234/G234,0)</f>
        <v>0</v>
      </c>
      <c r="J234" s="116">
        <f t="shared" ref="J234:J250" si="403">MAX(G234-H234,0)</f>
        <v>0</v>
      </c>
      <c r="K234" s="97">
        <f>IF(I234&lt;70%,MIN(J234,(E234+F234/2)*$C234),J234/D$233)</f>
        <v>0</v>
      </c>
      <c r="L234" s="9"/>
      <c r="M234" s="9">
        <f>GFA!L235</f>
        <v>0</v>
      </c>
      <c r="N234" s="9">
        <f>GFA!N235</f>
        <v>0</v>
      </c>
      <c r="O234" s="97">
        <f t="shared" ref="O234:O250" si="404">90%*(M234+N234)</f>
        <v>0</v>
      </c>
      <c r="P234" s="9">
        <f t="shared" ref="P234:P250" si="405">H234+K234</f>
        <v>0</v>
      </c>
      <c r="Q234" s="115">
        <f t="shared" ref="Q234:Q250" si="406">IFERROR(P234/O234,0)</f>
        <v>0</v>
      </c>
      <c r="R234" s="116">
        <f t="shared" ref="R234:R250" si="407">MAX(O234-P234,0)</f>
        <v>0</v>
      </c>
      <c r="S234" s="97">
        <f>IF(Q234&lt;70%,MIN(R234,(M234+N234/2)*$C234),R234/L$233)</f>
        <v>0</v>
      </c>
      <c r="T234" s="9"/>
      <c r="U234" s="9">
        <f>GFA!T235</f>
        <v>0</v>
      </c>
      <c r="V234" s="9">
        <f>GFA!V235</f>
        <v>0.11958602522929658</v>
      </c>
      <c r="W234" s="97">
        <f t="shared" ref="W234:W250" si="408">90%*(U234+V234)</f>
        <v>0.10762742270636692</v>
      </c>
      <c r="X234" s="9">
        <f t="shared" ref="X234:X250" si="409">P234+S234</f>
        <v>0</v>
      </c>
      <c r="Y234" s="115">
        <f t="shared" ref="Y234:Y250" si="410">IFERROR(X234/W234,0)</f>
        <v>0</v>
      </c>
      <c r="Z234" s="116">
        <f t="shared" ref="Z234:Z250" si="411">MAX(W234-X234,0)</f>
        <v>0.10762742270636692</v>
      </c>
      <c r="AA234" s="97">
        <f>IF(Y234&lt;70%,MIN(Z234,(U234+V234/2)*$C234),Z234/T$233)</f>
        <v>0</v>
      </c>
      <c r="AB234" s="9"/>
      <c r="AC234" s="9">
        <f>GFA!AB235</f>
        <v>0.11958602522929658</v>
      </c>
      <c r="AD234" s="9">
        <f>GFA!AD235</f>
        <v>0</v>
      </c>
      <c r="AE234" s="97">
        <f t="shared" ref="AE234:AE250" si="412">90%*(AC234+AD234)</f>
        <v>0.10762742270636692</v>
      </c>
      <c r="AF234" s="9">
        <f t="shared" ref="AF234:AF250" si="413">X234+AA234</f>
        <v>0</v>
      </c>
      <c r="AG234" s="115">
        <f t="shared" ref="AG234:AG250" si="414">IFERROR(AF234/AE234,0)</f>
        <v>0</v>
      </c>
      <c r="AH234" s="116">
        <f t="shared" ref="AH234:AH250" si="415">MAX(AE234-AF234,0)</f>
        <v>0.10762742270636692</v>
      </c>
      <c r="AI234" s="97">
        <f>IF(AG234&lt;70%,MIN(AH234,(AC234+AD234/2)*$C234),AH234/AB$233)</f>
        <v>0</v>
      </c>
      <c r="AJ234" s="9"/>
      <c r="AK234" s="9">
        <f>GFA!AJ235</f>
        <v>0.11958602522929658</v>
      </c>
      <c r="AL234" s="9">
        <f>GFA!AL235</f>
        <v>0</v>
      </c>
      <c r="AM234" s="97">
        <f t="shared" ref="AM234:AM250" si="416">90%*(AK234+AL234)</f>
        <v>0.10762742270636692</v>
      </c>
      <c r="AN234" s="9">
        <f t="shared" ref="AN234:AN250" si="417">AF234+AI234</f>
        <v>0</v>
      </c>
      <c r="AO234" s="115">
        <f t="shared" ref="AO234:AO250" si="418">IFERROR(AN234/AM234,0)</f>
        <v>0</v>
      </c>
      <c r="AP234" s="116">
        <f t="shared" ref="AP234:AP250" si="419">MAX(AM234-AN234,0)</f>
        <v>0.10762742270636692</v>
      </c>
      <c r="AQ234" s="97">
        <f>IF(AO234&lt;70%,MIN(AP234,(AK234+AL234/2)*$C234),AP234/AJ$233)</f>
        <v>0</v>
      </c>
      <c r="AR234" s="9"/>
      <c r="AS234" s="9">
        <f>GFA!AR235</f>
        <v>0.11958602522929658</v>
      </c>
      <c r="AT234" s="9">
        <f>GFA!AT235</f>
        <v>0</v>
      </c>
      <c r="AU234" s="97">
        <f t="shared" ref="AU234:AU250" si="420">90%*(AS234+AT234)</f>
        <v>0.10762742270636692</v>
      </c>
      <c r="AV234" s="9">
        <f t="shared" ref="AV234:AV250" si="421">AN234+AQ234</f>
        <v>0</v>
      </c>
      <c r="AW234" s="115">
        <f t="shared" ref="AW234:AW250" si="422">IFERROR(AV234/AU234,0)</f>
        <v>0</v>
      </c>
      <c r="AX234" s="116">
        <f t="shared" ref="AX234:AX250" si="423">MAX(AU234-AV234,0)</f>
        <v>0.10762742270636692</v>
      </c>
      <c r="AY234" s="97">
        <f>IF(AW234&lt;70%,MIN(AX234,(AS234+AT234/2)*$C234),AX234/AR$233)</f>
        <v>0</v>
      </c>
    </row>
    <row r="235" spans="2:51" x14ac:dyDescent="0.35">
      <c r="B235" s="7" t="s">
        <v>134</v>
      </c>
      <c r="C235" s="14">
        <v>3.3399999999999999E-2</v>
      </c>
      <c r="D235" s="9"/>
      <c r="E235" s="9">
        <f>GFA!D236</f>
        <v>3.4294031679273829</v>
      </c>
      <c r="F235" s="9">
        <f>GFA!F236</f>
        <v>0</v>
      </c>
      <c r="G235" s="97">
        <f t="shared" si="401"/>
        <v>3.0864628511346446</v>
      </c>
      <c r="H235" s="9">
        <v>0.31092017849846865</v>
      </c>
      <c r="I235" s="115">
        <f t="shared" si="402"/>
        <v>0.10073673116919851</v>
      </c>
      <c r="J235" s="116">
        <f t="shared" si="403"/>
        <v>2.7755426726361758</v>
      </c>
      <c r="K235" s="97">
        <f t="shared" ref="K235:K250" si="424">IF(I235&lt;70%,MIN(J235,(E235+F235/2)*$C235),J235/D$233)</f>
        <v>0.11454206580877459</v>
      </c>
      <c r="L235" s="9"/>
      <c r="M235" s="9">
        <f>GFA!L236</f>
        <v>3.4294031679273829</v>
      </c>
      <c r="N235" s="9">
        <f>GFA!N236</f>
        <v>0</v>
      </c>
      <c r="O235" s="97">
        <f t="shared" si="404"/>
        <v>3.0864628511346446</v>
      </c>
      <c r="P235" s="9">
        <f t="shared" si="405"/>
        <v>0.42546224430724322</v>
      </c>
      <c r="Q235" s="115">
        <f t="shared" si="406"/>
        <v>0.13784784228030961</v>
      </c>
      <c r="R235" s="116">
        <f t="shared" si="407"/>
        <v>2.6610006068274012</v>
      </c>
      <c r="S235" s="97">
        <f t="shared" ref="S235:S250" si="425">IF(Q235&lt;70%,MIN(R235,(M235+N235/2)*$C235),R235/L$233)</f>
        <v>0.11454206580877459</v>
      </c>
      <c r="T235" s="9"/>
      <c r="U235" s="9">
        <f>GFA!T236</f>
        <v>3.4294031679273829</v>
      </c>
      <c r="V235" s="9">
        <f>GFA!V236</f>
        <v>0.78314260836734362</v>
      </c>
      <c r="W235" s="97">
        <f t="shared" si="408"/>
        <v>3.7912911986652542</v>
      </c>
      <c r="X235" s="9">
        <f t="shared" si="409"/>
        <v>0.54000431011601779</v>
      </c>
      <c r="Y235" s="115">
        <f t="shared" si="410"/>
        <v>0.1424328234945734</v>
      </c>
      <c r="Z235" s="116">
        <f t="shared" si="411"/>
        <v>3.2512868885492363</v>
      </c>
      <c r="AA235" s="97">
        <f t="shared" ref="AA235:AA250" si="426">IF(Y235&lt;70%,MIN(Z235,(U235+V235/2)*$C235),Z235/T$233)</f>
        <v>0.12762054736850922</v>
      </c>
      <c r="AB235" s="9"/>
      <c r="AC235" s="9">
        <f>GFA!AB236</f>
        <v>4.2125457762947267</v>
      </c>
      <c r="AD235" s="9">
        <f>GFA!AD236</f>
        <v>0</v>
      </c>
      <c r="AE235" s="97">
        <f t="shared" si="412"/>
        <v>3.7912911986652542</v>
      </c>
      <c r="AF235" s="9">
        <f t="shared" si="413"/>
        <v>0.66762485748452705</v>
      </c>
      <c r="AG235" s="115">
        <f t="shared" si="414"/>
        <v>0.1760943231476306</v>
      </c>
      <c r="AH235" s="116">
        <f t="shared" si="415"/>
        <v>3.1236663411807273</v>
      </c>
      <c r="AI235" s="97">
        <f t="shared" ref="AI235:AI250" si="427">IF(AG235&lt;70%,MIN(AH235,(AC235+AD235/2)*$C235),AH235/AB$233)</f>
        <v>0.14069902892824387</v>
      </c>
      <c r="AJ235" s="9"/>
      <c r="AK235" s="9">
        <f>GFA!AJ236</f>
        <v>4.2125457762947267</v>
      </c>
      <c r="AL235" s="9">
        <f>GFA!AL236</f>
        <v>0</v>
      </c>
      <c r="AM235" s="97">
        <f t="shared" si="416"/>
        <v>3.7912911986652542</v>
      </c>
      <c r="AN235" s="9">
        <f t="shared" si="417"/>
        <v>0.80832388641277086</v>
      </c>
      <c r="AO235" s="115">
        <f t="shared" si="418"/>
        <v>0.21320543425874169</v>
      </c>
      <c r="AP235" s="116">
        <f t="shared" si="419"/>
        <v>2.9829673122524833</v>
      </c>
      <c r="AQ235" s="97">
        <f t="shared" ref="AQ235:AQ250" si="428">IF(AO235&lt;70%,MIN(AP235,(AK235+AL235/2)*$C235),AP235/AJ$233)</f>
        <v>0.14069902892824387</v>
      </c>
      <c r="AR235" s="9"/>
      <c r="AS235" s="9">
        <f>GFA!AR236</f>
        <v>4.2125457762947267</v>
      </c>
      <c r="AT235" s="9">
        <f>GFA!AT236</f>
        <v>0</v>
      </c>
      <c r="AU235" s="97">
        <f t="shared" si="420"/>
        <v>3.7912911986652542</v>
      </c>
      <c r="AV235" s="9">
        <f t="shared" si="421"/>
        <v>0.94902291534101479</v>
      </c>
      <c r="AW235" s="115">
        <f t="shared" si="422"/>
        <v>0.25031654536985282</v>
      </c>
      <c r="AX235" s="116">
        <f t="shared" si="423"/>
        <v>2.8422682833242394</v>
      </c>
      <c r="AY235" s="97">
        <f t="shared" ref="AY235:AY250" si="429">IF(AW235&lt;70%,MIN(AX235,(AS235+AT235/2)*$C235),AX235/AR$233)</f>
        <v>0.14069902892824387</v>
      </c>
    </row>
    <row r="236" spans="2:51" ht="31" x14ac:dyDescent="0.35">
      <c r="B236" s="84" t="s">
        <v>135</v>
      </c>
      <c r="C236" s="117">
        <v>5.28E-2</v>
      </c>
      <c r="D236" s="9"/>
      <c r="E236" s="9">
        <f>GFA!D237</f>
        <v>0</v>
      </c>
      <c r="F236" s="9">
        <f>GFA!F237</f>
        <v>0</v>
      </c>
      <c r="G236" s="97">
        <f t="shared" si="401"/>
        <v>0</v>
      </c>
      <c r="H236" s="9">
        <v>0</v>
      </c>
      <c r="I236" s="115">
        <f t="shared" si="402"/>
        <v>0</v>
      </c>
      <c r="J236" s="116">
        <f t="shared" si="403"/>
        <v>0</v>
      </c>
      <c r="K236" s="97">
        <f t="shared" si="424"/>
        <v>0</v>
      </c>
      <c r="L236" s="9"/>
      <c r="M236" s="9">
        <f>GFA!L237</f>
        <v>0</v>
      </c>
      <c r="N236" s="9">
        <f>GFA!N237</f>
        <v>0</v>
      </c>
      <c r="O236" s="97">
        <f t="shared" si="404"/>
        <v>0</v>
      </c>
      <c r="P236" s="9">
        <f t="shared" si="405"/>
        <v>0</v>
      </c>
      <c r="Q236" s="115">
        <f t="shared" si="406"/>
        <v>0</v>
      </c>
      <c r="R236" s="116">
        <f t="shared" si="407"/>
        <v>0</v>
      </c>
      <c r="S236" s="97">
        <f t="shared" si="425"/>
        <v>0</v>
      </c>
      <c r="T236" s="9"/>
      <c r="U236" s="9">
        <f>GFA!T237</f>
        <v>0</v>
      </c>
      <c r="V236" s="9">
        <f>GFA!V237</f>
        <v>0</v>
      </c>
      <c r="W236" s="97">
        <f t="shared" si="408"/>
        <v>0</v>
      </c>
      <c r="X236" s="9">
        <f t="shared" si="409"/>
        <v>0</v>
      </c>
      <c r="Y236" s="115">
        <f t="shared" si="410"/>
        <v>0</v>
      </c>
      <c r="Z236" s="116">
        <f t="shared" si="411"/>
        <v>0</v>
      </c>
      <c r="AA236" s="97">
        <f t="shared" si="426"/>
        <v>0</v>
      </c>
      <c r="AB236" s="9"/>
      <c r="AC236" s="9">
        <f>GFA!AB237</f>
        <v>0</v>
      </c>
      <c r="AD236" s="9">
        <f>GFA!AD237</f>
        <v>0</v>
      </c>
      <c r="AE236" s="97">
        <f t="shared" si="412"/>
        <v>0</v>
      </c>
      <c r="AF236" s="9">
        <f t="shared" si="413"/>
        <v>0</v>
      </c>
      <c r="AG236" s="115">
        <f t="shared" si="414"/>
        <v>0</v>
      </c>
      <c r="AH236" s="116">
        <f t="shared" si="415"/>
        <v>0</v>
      </c>
      <c r="AI236" s="97">
        <f t="shared" si="427"/>
        <v>0</v>
      </c>
      <c r="AJ236" s="9"/>
      <c r="AK236" s="9">
        <f>GFA!AJ237</f>
        <v>0</v>
      </c>
      <c r="AL236" s="9">
        <f>GFA!AL237</f>
        <v>0</v>
      </c>
      <c r="AM236" s="97">
        <f t="shared" si="416"/>
        <v>0</v>
      </c>
      <c r="AN236" s="9">
        <f t="shared" si="417"/>
        <v>0</v>
      </c>
      <c r="AO236" s="115">
        <f t="shared" si="418"/>
        <v>0</v>
      </c>
      <c r="AP236" s="116">
        <f t="shared" si="419"/>
        <v>0</v>
      </c>
      <c r="AQ236" s="97">
        <f t="shared" si="428"/>
        <v>0</v>
      </c>
      <c r="AR236" s="9"/>
      <c r="AS236" s="9">
        <f>GFA!AR237</f>
        <v>0</v>
      </c>
      <c r="AT236" s="9">
        <f>GFA!AT237</f>
        <v>0</v>
      </c>
      <c r="AU236" s="97">
        <f t="shared" si="420"/>
        <v>0</v>
      </c>
      <c r="AV236" s="9">
        <f t="shared" si="421"/>
        <v>0</v>
      </c>
      <c r="AW236" s="115">
        <f t="shared" si="422"/>
        <v>0</v>
      </c>
      <c r="AX236" s="116">
        <f t="shared" si="423"/>
        <v>0</v>
      </c>
      <c r="AY236" s="97">
        <f t="shared" si="429"/>
        <v>0</v>
      </c>
    </row>
    <row r="237" spans="2:51" x14ac:dyDescent="0.35">
      <c r="B237" s="7" t="s">
        <v>136</v>
      </c>
      <c r="C237" s="14">
        <v>5.28E-2</v>
      </c>
      <c r="D237" s="9"/>
      <c r="E237" s="9">
        <f>GFA!D238</f>
        <v>222.65326612357836</v>
      </c>
      <c r="F237" s="9">
        <f>GFA!F238</f>
        <v>0</v>
      </c>
      <c r="G237" s="97">
        <f t="shared" si="401"/>
        <v>200.38793951122054</v>
      </c>
      <c r="H237" s="9">
        <v>30.792071824654926</v>
      </c>
      <c r="I237" s="115">
        <f t="shared" si="402"/>
        <v>0.15366230073407564</v>
      </c>
      <c r="J237" s="116">
        <f t="shared" si="403"/>
        <v>169.59586768656561</v>
      </c>
      <c r="K237" s="97">
        <f t="shared" si="424"/>
        <v>11.756092451324937</v>
      </c>
      <c r="L237" s="9"/>
      <c r="M237" s="9">
        <f>GFA!L238</f>
        <v>222.65326612357836</v>
      </c>
      <c r="N237" s="9">
        <f>GFA!N238</f>
        <v>13.542358606871892</v>
      </c>
      <c r="O237" s="97">
        <f t="shared" si="404"/>
        <v>212.57606225740523</v>
      </c>
      <c r="P237" s="9">
        <f t="shared" si="405"/>
        <v>42.548164275979865</v>
      </c>
      <c r="Q237" s="115">
        <f t="shared" si="406"/>
        <v>0.20015501192443258</v>
      </c>
      <c r="R237" s="116">
        <f t="shared" si="407"/>
        <v>170.02789798142535</v>
      </c>
      <c r="S237" s="97">
        <f t="shared" si="425"/>
        <v>12.113610718546356</v>
      </c>
      <c r="T237" s="9"/>
      <c r="U237" s="9">
        <f>GFA!T238</f>
        <v>236.19562473045025</v>
      </c>
      <c r="V237" s="9">
        <f>GFA!V238</f>
        <v>72.802320467579079</v>
      </c>
      <c r="W237" s="97">
        <f t="shared" si="408"/>
        <v>278.09815067822643</v>
      </c>
      <c r="X237" s="9">
        <f t="shared" si="409"/>
        <v>54.661774994526219</v>
      </c>
      <c r="Y237" s="115">
        <f t="shared" si="410"/>
        <v>0.19655569395631345</v>
      </c>
      <c r="Z237" s="116">
        <f t="shared" si="411"/>
        <v>223.43637568370022</v>
      </c>
      <c r="AA237" s="97">
        <f t="shared" si="426"/>
        <v>14.39311024611186</v>
      </c>
      <c r="AB237" s="9"/>
      <c r="AC237" s="9">
        <f>GFA!AB238</f>
        <v>308.99794519802936</v>
      </c>
      <c r="AD237" s="9">
        <f>GFA!AD238</f>
        <v>0</v>
      </c>
      <c r="AE237" s="97">
        <f t="shared" si="412"/>
        <v>278.09815067822643</v>
      </c>
      <c r="AF237" s="9">
        <f t="shared" si="413"/>
        <v>69.054885240638072</v>
      </c>
      <c r="AG237" s="115">
        <f t="shared" si="414"/>
        <v>0.24831119902173693</v>
      </c>
      <c r="AH237" s="116">
        <f t="shared" si="415"/>
        <v>209.04326543758836</v>
      </c>
      <c r="AI237" s="97">
        <f t="shared" si="427"/>
        <v>16.31509150645595</v>
      </c>
      <c r="AJ237" s="9"/>
      <c r="AK237" s="9">
        <f>GFA!AJ238</f>
        <v>308.99794519802936</v>
      </c>
      <c r="AL237" s="9">
        <f>GFA!AL238</f>
        <v>0</v>
      </c>
      <c r="AM237" s="97">
        <f t="shared" si="416"/>
        <v>278.09815067822643</v>
      </c>
      <c r="AN237" s="9">
        <f t="shared" si="417"/>
        <v>85.369976747094029</v>
      </c>
      <c r="AO237" s="115">
        <f t="shared" si="418"/>
        <v>0.30697786568840363</v>
      </c>
      <c r="AP237" s="116">
        <f t="shared" si="419"/>
        <v>192.7281739311324</v>
      </c>
      <c r="AQ237" s="97">
        <f t="shared" si="428"/>
        <v>16.31509150645595</v>
      </c>
      <c r="AR237" s="9"/>
      <c r="AS237" s="9">
        <f>GFA!AR238</f>
        <v>308.99794519802936</v>
      </c>
      <c r="AT237" s="9">
        <f>GFA!AT238</f>
        <v>0</v>
      </c>
      <c r="AU237" s="97">
        <f t="shared" si="420"/>
        <v>278.09815067822643</v>
      </c>
      <c r="AV237" s="9">
        <f t="shared" si="421"/>
        <v>101.68506825354999</v>
      </c>
      <c r="AW237" s="115">
        <f t="shared" si="422"/>
        <v>0.36564453235507033</v>
      </c>
      <c r="AX237" s="116">
        <f t="shared" si="423"/>
        <v>176.41308242467645</v>
      </c>
      <c r="AY237" s="97">
        <f t="shared" si="429"/>
        <v>16.31509150645595</v>
      </c>
    </row>
    <row r="238" spans="2:51" x14ac:dyDescent="0.35">
      <c r="B238" s="7" t="s">
        <v>137</v>
      </c>
      <c r="C238" s="14">
        <v>3.3399999999999999E-2</v>
      </c>
      <c r="D238" s="9"/>
      <c r="E238" s="9">
        <f>GFA!D239</f>
        <v>55.298819680343463</v>
      </c>
      <c r="F238" s="9">
        <f>GFA!F239</f>
        <v>0</v>
      </c>
      <c r="G238" s="97">
        <f t="shared" si="401"/>
        <v>49.768937712309118</v>
      </c>
      <c r="H238" s="9">
        <v>4.2737183293712313</v>
      </c>
      <c r="I238" s="115">
        <f t="shared" si="402"/>
        <v>8.5871198498862725E-2</v>
      </c>
      <c r="J238" s="116">
        <f t="shared" si="403"/>
        <v>45.49521938293789</v>
      </c>
      <c r="K238" s="97">
        <f t="shared" si="424"/>
        <v>1.8469805773234715</v>
      </c>
      <c r="L238" s="9"/>
      <c r="M238" s="9">
        <f>GFA!L239</f>
        <v>55.298819680343463</v>
      </c>
      <c r="N238" s="9">
        <f>GFA!N239</f>
        <v>30.409382153846259</v>
      </c>
      <c r="O238" s="97">
        <f t="shared" si="404"/>
        <v>77.137381650770749</v>
      </c>
      <c r="P238" s="9">
        <f t="shared" si="405"/>
        <v>6.1206989066947024</v>
      </c>
      <c r="Q238" s="115">
        <f t="shared" si="406"/>
        <v>7.9348025246764972E-2</v>
      </c>
      <c r="R238" s="116">
        <f t="shared" si="407"/>
        <v>71.01668274407605</v>
      </c>
      <c r="S238" s="97">
        <f t="shared" si="425"/>
        <v>2.3548172592927044</v>
      </c>
      <c r="T238" s="9"/>
      <c r="U238" s="9">
        <f>GFA!T239</f>
        <v>85.708201834189722</v>
      </c>
      <c r="V238" s="9">
        <f>GFA!V239</f>
        <v>3.1170452543169453</v>
      </c>
      <c r="W238" s="97">
        <f t="shared" si="408"/>
        <v>79.942722379656004</v>
      </c>
      <c r="X238" s="9">
        <f t="shared" si="409"/>
        <v>8.4755161659874076</v>
      </c>
      <c r="Y238" s="115">
        <f t="shared" si="410"/>
        <v>0.10601985914035215</v>
      </c>
      <c r="Z238" s="116">
        <f t="shared" si="411"/>
        <v>71.467206213668589</v>
      </c>
      <c r="AA238" s="97">
        <f t="shared" si="426"/>
        <v>2.9147085970090294</v>
      </c>
      <c r="AB238" s="9"/>
      <c r="AC238" s="9">
        <f>GFA!AB239</f>
        <v>88.825247088506671</v>
      </c>
      <c r="AD238" s="9">
        <f>GFA!AD239</f>
        <v>0</v>
      </c>
      <c r="AE238" s="97">
        <f t="shared" si="412"/>
        <v>79.942722379656004</v>
      </c>
      <c r="AF238" s="9">
        <f t="shared" si="413"/>
        <v>11.390224762996437</v>
      </c>
      <c r="AG238" s="115">
        <f t="shared" si="414"/>
        <v>0.14247982085102279</v>
      </c>
      <c r="AH238" s="116">
        <f t="shared" si="415"/>
        <v>68.552497616659565</v>
      </c>
      <c r="AI238" s="97">
        <f t="shared" si="427"/>
        <v>2.966763252756123</v>
      </c>
      <c r="AJ238" s="9"/>
      <c r="AK238" s="9">
        <f>GFA!AJ239</f>
        <v>88.825247088506671</v>
      </c>
      <c r="AL238" s="9">
        <f>GFA!AL239</f>
        <v>0</v>
      </c>
      <c r="AM238" s="97">
        <f t="shared" si="416"/>
        <v>79.942722379656004</v>
      </c>
      <c r="AN238" s="9">
        <f t="shared" si="417"/>
        <v>14.35698801575256</v>
      </c>
      <c r="AO238" s="115">
        <f t="shared" si="418"/>
        <v>0.17959093196213388</v>
      </c>
      <c r="AP238" s="116">
        <f t="shared" si="419"/>
        <v>65.585734363903441</v>
      </c>
      <c r="AQ238" s="97">
        <f t="shared" si="428"/>
        <v>2.966763252756123</v>
      </c>
      <c r="AR238" s="9"/>
      <c r="AS238" s="9">
        <f>GFA!AR239</f>
        <v>88.825247088506671</v>
      </c>
      <c r="AT238" s="9">
        <f>GFA!AT239</f>
        <v>0</v>
      </c>
      <c r="AU238" s="97">
        <f t="shared" si="420"/>
        <v>79.942722379656004</v>
      </c>
      <c r="AV238" s="9">
        <f t="shared" si="421"/>
        <v>17.323751268508683</v>
      </c>
      <c r="AW238" s="115">
        <f t="shared" si="422"/>
        <v>0.216702043073245</v>
      </c>
      <c r="AX238" s="116">
        <f t="shared" si="423"/>
        <v>62.618971111147317</v>
      </c>
      <c r="AY238" s="97">
        <f t="shared" si="429"/>
        <v>2.966763252756123</v>
      </c>
    </row>
    <row r="239" spans="2:51" x14ac:dyDescent="0.35">
      <c r="B239" s="7" t="s">
        <v>138</v>
      </c>
      <c r="C239" s="14">
        <v>5.28E-2</v>
      </c>
      <c r="D239" s="9"/>
      <c r="E239" s="9">
        <f>GFA!D240</f>
        <v>5654.2494470916699</v>
      </c>
      <c r="F239" s="9">
        <f>GFA!F240</f>
        <v>7.1599862339999998</v>
      </c>
      <c r="G239" s="97">
        <f t="shared" si="401"/>
        <v>5095.2684899931028</v>
      </c>
      <c r="H239" s="9">
        <v>737.57685843078661</v>
      </c>
      <c r="I239" s="115">
        <f t="shared" si="402"/>
        <v>0.14475721149520523</v>
      </c>
      <c r="J239" s="116">
        <f t="shared" si="403"/>
        <v>4357.6916315623166</v>
      </c>
      <c r="K239" s="97">
        <f t="shared" si="424"/>
        <v>298.7333944430178</v>
      </c>
      <c r="L239" s="9"/>
      <c r="M239" s="9">
        <f>GFA!L240</f>
        <v>5661.4094333256699</v>
      </c>
      <c r="N239" s="9">
        <f>GFA!N240</f>
        <v>23.240062869528835</v>
      </c>
      <c r="O239" s="97">
        <f t="shared" si="404"/>
        <v>5116.1845465756787</v>
      </c>
      <c r="P239" s="9">
        <f t="shared" si="405"/>
        <v>1036.3102528738045</v>
      </c>
      <c r="Q239" s="115">
        <f t="shared" si="406"/>
        <v>0.20255529163181163</v>
      </c>
      <c r="R239" s="116">
        <f t="shared" si="407"/>
        <v>4079.8742937018742</v>
      </c>
      <c r="S239" s="97">
        <f t="shared" si="425"/>
        <v>299.53595573935092</v>
      </c>
      <c r="T239" s="9"/>
      <c r="U239" s="9">
        <f>GFA!T240</f>
        <v>5684.6494961951985</v>
      </c>
      <c r="V239" s="9">
        <f>GFA!V240</f>
        <v>149.19790564450736</v>
      </c>
      <c r="W239" s="97">
        <f t="shared" si="408"/>
        <v>5250.4626616557352</v>
      </c>
      <c r="X239" s="9">
        <f t="shared" si="409"/>
        <v>1335.8462086131553</v>
      </c>
      <c r="Y239" s="115">
        <f t="shared" si="410"/>
        <v>0.25442447545982466</v>
      </c>
      <c r="Z239" s="116">
        <f t="shared" si="411"/>
        <v>3914.6164530425799</v>
      </c>
      <c r="AA239" s="97">
        <f t="shared" si="426"/>
        <v>304.08831810812148</v>
      </c>
      <c r="AB239" s="9"/>
      <c r="AC239" s="9">
        <f>GFA!AB240</f>
        <v>5833.8474018397055</v>
      </c>
      <c r="AD239" s="9">
        <f>GFA!AD240</f>
        <v>158.41999999999996</v>
      </c>
      <c r="AE239" s="97">
        <f t="shared" si="412"/>
        <v>5393.0406616557348</v>
      </c>
      <c r="AF239" s="9">
        <f t="shared" si="413"/>
        <v>1639.9345267212768</v>
      </c>
      <c r="AG239" s="115">
        <f t="shared" si="414"/>
        <v>0.30408347157126669</v>
      </c>
      <c r="AH239" s="116">
        <f t="shared" si="415"/>
        <v>3753.1061349344582</v>
      </c>
      <c r="AI239" s="97">
        <f t="shared" si="427"/>
        <v>312.20943081713648</v>
      </c>
      <c r="AJ239" s="9"/>
      <c r="AK239" s="9">
        <f>GFA!AJ240</f>
        <v>5992.2674018397056</v>
      </c>
      <c r="AL239" s="9">
        <f>GFA!AL240</f>
        <v>301.75</v>
      </c>
      <c r="AM239" s="97">
        <f t="shared" si="416"/>
        <v>5664.6156616557355</v>
      </c>
      <c r="AN239" s="9">
        <f t="shared" si="417"/>
        <v>1952.1439575384134</v>
      </c>
      <c r="AO239" s="115">
        <f t="shared" si="418"/>
        <v>0.34462072524225107</v>
      </c>
      <c r="AP239" s="116">
        <f t="shared" si="419"/>
        <v>3712.4717041173221</v>
      </c>
      <c r="AQ239" s="97">
        <f t="shared" si="428"/>
        <v>324.35791881713646</v>
      </c>
      <c r="AR239" s="9"/>
      <c r="AS239" s="9">
        <f>GFA!AR240</f>
        <v>6294.0174018397056</v>
      </c>
      <c r="AT239" s="9">
        <f>GFA!AT240</f>
        <v>220.27</v>
      </c>
      <c r="AU239" s="97">
        <f t="shared" si="420"/>
        <v>5862.8586616557359</v>
      </c>
      <c r="AV239" s="9">
        <f t="shared" si="421"/>
        <v>2276.5018763555499</v>
      </c>
      <c r="AW239" s="115">
        <f t="shared" si="422"/>
        <v>0.38829212978377353</v>
      </c>
      <c r="AX239" s="116">
        <f t="shared" si="423"/>
        <v>3586.3567853001859</v>
      </c>
      <c r="AY239" s="97">
        <f t="shared" si="429"/>
        <v>338.13924681713644</v>
      </c>
    </row>
    <row r="240" spans="2:51" x14ac:dyDescent="0.35">
      <c r="B240" s="7" t="s">
        <v>139</v>
      </c>
      <c r="C240" s="14">
        <v>0.18</v>
      </c>
      <c r="D240" s="9"/>
      <c r="E240" s="9">
        <f>GFA!D241</f>
        <v>0</v>
      </c>
      <c r="F240" s="9">
        <f>GFA!F241</f>
        <v>0</v>
      </c>
      <c r="G240" s="97">
        <f t="shared" si="401"/>
        <v>0</v>
      </c>
      <c r="H240" s="9">
        <v>0</v>
      </c>
      <c r="I240" s="115">
        <f t="shared" si="402"/>
        <v>0</v>
      </c>
      <c r="J240" s="116">
        <f t="shared" si="403"/>
        <v>0</v>
      </c>
      <c r="K240" s="97">
        <f t="shared" si="424"/>
        <v>0</v>
      </c>
      <c r="L240" s="9"/>
      <c r="M240" s="9">
        <f>GFA!L241</f>
        <v>0</v>
      </c>
      <c r="N240" s="9">
        <f>GFA!N241</f>
        <v>0</v>
      </c>
      <c r="O240" s="97">
        <f t="shared" si="404"/>
        <v>0</v>
      </c>
      <c r="P240" s="9">
        <f t="shared" si="405"/>
        <v>0</v>
      </c>
      <c r="Q240" s="115">
        <f t="shared" si="406"/>
        <v>0</v>
      </c>
      <c r="R240" s="116">
        <f t="shared" si="407"/>
        <v>0</v>
      </c>
      <c r="S240" s="97">
        <f t="shared" si="425"/>
        <v>0</v>
      </c>
      <c r="T240" s="9"/>
      <c r="U240" s="9">
        <f>GFA!T241</f>
        <v>0</v>
      </c>
      <c r="V240" s="9">
        <f>GFA!V241</f>
        <v>0</v>
      </c>
      <c r="W240" s="97">
        <f t="shared" si="408"/>
        <v>0</v>
      </c>
      <c r="X240" s="9">
        <f t="shared" si="409"/>
        <v>0</v>
      </c>
      <c r="Y240" s="115">
        <f t="shared" si="410"/>
        <v>0</v>
      </c>
      <c r="Z240" s="116">
        <f t="shared" si="411"/>
        <v>0</v>
      </c>
      <c r="AA240" s="97">
        <f t="shared" si="426"/>
        <v>0</v>
      </c>
      <c r="AB240" s="9"/>
      <c r="AC240" s="9">
        <f>GFA!AB241</f>
        <v>0</v>
      </c>
      <c r="AD240" s="9">
        <f>GFA!AD241</f>
        <v>0</v>
      </c>
      <c r="AE240" s="97">
        <f t="shared" si="412"/>
        <v>0</v>
      </c>
      <c r="AF240" s="9">
        <f t="shared" si="413"/>
        <v>0</v>
      </c>
      <c r="AG240" s="115">
        <f t="shared" si="414"/>
        <v>0</v>
      </c>
      <c r="AH240" s="116">
        <f t="shared" si="415"/>
        <v>0</v>
      </c>
      <c r="AI240" s="97">
        <f t="shared" si="427"/>
        <v>0</v>
      </c>
      <c r="AJ240" s="9"/>
      <c r="AK240" s="9">
        <f>GFA!AJ241</f>
        <v>0</v>
      </c>
      <c r="AL240" s="9">
        <f>GFA!AL241</f>
        <v>0</v>
      </c>
      <c r="AM240" s="97">
        <f t="shared" si="416"/>
        <v>0</v>
      </c>
      <c r="AN240" s="9">
        <f t="shared" si="417"/>
        <v>0</v>
      </c>
      <c r="AO240" s="115">
        <f t="shared" si="418"/>
        <v>0</v>
      </c>
      <c r="AP240" s="116">
        <f t="shared" si="419"/>
        <v>0</v>
      </c>
      <c r="AQ240" s="97">
        <f t="shared" si="428"/>
        <v>0</v>
      </c>
      <c r="AR240" s="9"/>
      <c r="AS240" s="9">
        <f>GFA!AR241</f>
        <v>0</v>
      </c>
      <c r="AT240" s="9">
        <f>GFA!AT241</f>
        <v>0</v>
      </c>
      <c r="AU240" s="97">
        <f t="shared" si="420"/>
        <v>0</v>
      </c>
      <c r="AV240" s="9">
        <f t="shared" si="421"/>
        <v>0</v>
      </c>
      <c r="AW240" s="115">
        <f t="shared" si="422"/>
        <v>0</v>
      </c>
      <c r="AX240" s="116">
        <f t="shared" si="423"/>
        <v>0</v>
      </c>
      <c r="AY240" s="97">
        <f t="shared" si="429"/>
        <v>0</v>
      </c>
    </row>
    <row r="241" spans="2:51" x14ac:dyDescent="0.35">
      <c r="B241" s="7" t="s">
        <v>140</v>
      </c>
      <c r="C241" s="14">
        <v>5.28E-2</v>
      </c>
      <c r="D241" s="9"/>
      <c r="E241" s="9">
        <f>GFA!D242</f>
        <v>0</v>
      </c>
      <c r="F241" s="9">
        <f>GFA!F242</f>
        <v>0</v>
      </c>
      <c r="G241" s="97">
        <f t="shared" si="401"/>
        <v>0</v>
      </c>
      <c r="H241" s="9">
        <v>0</v>
      </c>
      <c r="I241" s="115">
        <f t="shared" si="402"/>
        <v>0</v>
      </c>
      <c r="J241" s="116">
        <f t="shared" si="403"/>
        <v>0</v>
      </c>
      <c r="K241" s="97">
        <f t="shared" si="424"/>
        <v>0</v>
      </c>
      <c r="L241" s="9"/>
      <c r="M241" s="9">
        <f>GFA!L242</f>
        <v>0</v>
      </c>
      <c r="N241" s="9">
        <f>GFA!N242</f>
        <v>0</v>
      </c>
      <c r="O241" s="97">
        <f t="shared" si="404"/>
        <v>0</v>
      </c>
      <c r="P241" s="9">
        <f t="shared" si="405"/>
        <v>0</v>
      </c>
      <c r="Q241" s="115">
        <f t="shared" si="406"/>
        <v>0</v>
      </c>
      <c r="R241" s="116">
        <f t="shared" si="407"/>
        <v>0</v>
      </c>
      <c r="S241" s="97">
        <f t="shared" si="425"/>
        <v>0</v>
      </c>
      <c r="T241" s="9"/>
      <c r="U241" s="9">
        <f>GFA!T242</f>
        <v>0</v>
      </c>
      <c r="V241" s="9">
        <f>GFA!V242</f>
        <v>0</v>
      </c>
      <c r="W241" s="97">
        <f t="shared" si="408"/>
        <v>0</v>
      </c>
      <c r="X241" s="9">
        <f t="shared" si="409"/>
        <v>0</v>
      </c>
      <c r="Y241" s="115">
        <f t="shared" si="410"/>
        <v>0</v>
      </c>
      <c r="Z241" s="116">
        <f t="shared" si="411"/>
        <v>0</v>
      </c>
      <c r="AA241" s="97">
        <f t="shared" si="426"/>
        <v>0</v>
      </c>
      <c r="AB241" s="9"/>
      <c r="AC241" s="9">
        <f>GFA!AB242</f>
        <v>0</v>
      </c>
      <c r="AD241" s="9">
        <f>GFA!AD242</f>
        <v>0</v>
      </c>
      <c r="AE241" s="97">
        <f t="shared" si="412"/>
        <v>0</v>
      </c>
      <c r="AF241" s="9">
        <f t="shared" si="413"/>
        <v>0</v>
      </c>
      <c r="AG241" s="115">
        <f t="shared" si="414"/>
        <v>0</v>
      </c>
      <c r="AH241" s="116">
        <f t="shared" si="415"/>
        <v>0</v>
      </c>
      <c r="AI241" s="97">
        <f t="shared" si="427"/>
        <v>0</v>
      </c>
      <c r="AJ241" s="9"/>
      <c r="AK241" s="9">
        <f>GFA!AJ242</f>
        <v>0</v>
      </c>
      <c r="AL241" s="9">
        <f>GFA!AL242</f>
        <v>0</v>
      </c>
      <c r="AM241" s="97">
        <f t="shared" si="416"/>
        <v>0</v>
      </c>
      <c r="AN241" s="9">
        <f t="shared" si="417"/>
        <v>0</v>
      </c>
      <c r="AO241" s="115">
        <f t="shared" si="418"/>
        <v>0</v>
      </c>
      <c r="AP241" s="116">
        <f t="shared" si="419"/>
        <v>0</v>
      </c>
      <c r="AQ241" s="97">
        <f t="shared" si="428"/>
        <v>0</v>
      </c>
      <c r="AR241" s="9"/>
      <c r="AS241" s="9">
        <f>GFA!AR242</f>
        <v>0</v>
      </c>
      <c r="AT241" s="9">
        <f>GFA!AT242</f>
        <v>0</v>
      </c>
      <c r="AU241" s="97">
        <f t="shared" si="420"/>
        <v>0</v>
      </c>
      <c r="AV241" s="9">
        <f t="shared" si="421"/>
        <v>0</v>
      </c>
      <c r="AW241" s="115">
        <f t="shared" si="422"/>
        <v>0</v>
      </c>
      <c r="AX241" s="116">
        <f t="shared" si="423"/>
        <v>0</v>
      </c>
      <c r="AY241" s="97">
        <f t="shared" si="429"/>
        <v>0</v>
      </c>
    </row>
    <row r="242" spans="2:51" x14ac:dyDescent="0.35">
      <c r="B242" s="7" t="s">
        <v>141</v>
      </c>
      <c r="C242" s="14">
        <v>5.28E-2</v>
      </c>
      <c r="D242" s="9"/>
      <c r="E242" s="9">
        <f>GFA!D243</f>
        <v>84.203448300272214</v>
      </c>
      <c r="F242" s="9">
        <f>GFA!F243</f>
        <v>0</v>
      </c>
      <c r="G242" s="97">
        <f t="shared" si="401"/>
        <v>75.783103470244995</v>
      </c>
      <c r="H242" s="9">
        <v>10.438828367693144</v>
      </c>
      <c r="I242" s="115">
        <f t="shared" si="402"/>
        <v>0.1377461187214612</v>
      </c>
      <c r="J242" s="116">
        <f t="shared" si="403"/>
        <v>65.344275102551848</v>
      </c>
      <c r="K242" s="97">
        <f t="shared" si="424"/>
        <v>4.4459420702543726</v>
      </c>
      <c r="L242" s="9"/>
      <c r="M242" s="9">
        <f>GFA!L243</f>
        <v>84.203448300272214</v>
      </c>
      <c r="N242" s="9">
        <f>GFA!N243</f>
        <v>0</v>
      </c>
      <c r="O242" s="97">
        <f t="shared" si="404"/>
        <v>75.783103470244995</v>
      </c>
      <c r="P242" s="9">
        <f t="shared" si="405"/>
        <v>14.884770437947516</v>
      </c>
      <c r="Q242" s="115">
        <f t="shared" si="406"/>
        <v>0.19641278538812784</v>
      </c>
      <c r="R242" s="116">
        <f t="shared" si="407"/>
        <v>60.898333032297479</v>
      </c>
      <c r="S242" s="97">
        <f t="shared" si="425"/>
        <v>4.4459420702543726</v>
      </c>
      <c r="T242" s="9"/>
      <c r="U242" s="9">
        <f>GFA!T243</f>
        <v>84.203448300272214</v>
      </c>
      <c r="V242" s="9">
        <f>GFA!V243</f>
        <v>0</v>
      </c>
      <c r="W242" s="97">
        <f t="shared" si="408"/>
        <v>75.783103470244995</v>
      </c>
      <c r="X242" s="9">
        <f t="shared" si="409"/>
        <v>19.330712508201888</v>
      </c>
      <c r="Y242" s="115">
        <f t="shared" si="410"/>
        <v>0.25507945205479449</v>
      </c>
      <c r="Z242" s="116">
        <f t="shared" si="411"/>
        <v>56.452390962043111</v>
      </c>
      <c r="AA242" s="97">
        <f t="shared" si="426"/>
        <v>4.4459420702543726</v>
      </c>
      <c r="AB242" s="9"/>
      <c r="AC242" s="9">
        <f>GFA!AB243</f>
        <v>84.203448300272214</v>
      </c>
      <c r="AD242" s="9">
        <f>GFA!AD243</f>
        <v>0</v>
      </c>
      <c r="AE242" s="97">
        <f t="shared" si="412"/>
        <v>75.783103470244995</v>
      </c>
      <c r="AF242" s="9">
        <f t="shared" si="413"/>
        <v>23.77665457845626</v>
      </c>
      <c r="AG242" s="115">
        <f t="shared" si="414"/>
        <v>0.31374611872146113</v>
      </c>
      <c r="AH242" s="116">
        <f t="shared" si="415"/>
        <v>52.006448891788736</v>
      </c>
      <c r="AI242" s="97">
        <f t="shared" si="427"/>
        <v>4.4459420702543726</v>
      </c>
      <c r="AJ242" s="9"/>
      <c r="AK242" s="9">
        <f>GFA!AJ243</f>
        <v>84.203448300272214</v>
      </c>
      <c r="AL242" s="9">
        <f>GFA!AL243</f>
        <v>0</v>
      </c>
      <c r="AM242" s="97">
        <f t="shared" si="416"/>
        <v>75.783103470244995</v>
      </c>
      <c r="AN242" s="9">
        <f t="shared" si="417"/>
        <v>28.222596648710631</v>
      </c>
      <c r="AO242" s="115">
        <f t="shared" si="418"/>
        <v>0.37241278538812778</v>
      </c>
      <c r="AP242" s="116">
        <f t="shared" si="419"/>
        <v>47.560506821534361</v>
      </c>
      <c r="AQ242" s="97">
        <f t="shared" si="428"/>
        <v>4.4459420702543726</v>
      </c>
      <c r="AR242" s="9"/>
      <c r="AS242" s="9">
        <f>GFA!AR243</f>
        <v>84.203448300272214</v>
      </c>
      <c r="AT242" s="9">
        <f>GFA!AT243</f>
        <v>0</v>
      </c>
      <c r="AU242" s="97">
        <f t="shared" si="420"/>
        <v>75.783103470244995</v>
      </c>
      <c r="AV242" s="9">
        <f t="shared" si="421"/>
        <v>32.668538718965003</v>
      </c>
      <c r="AW242" s="115">
        <f t="shared" si="422"/>
        <v>0.43107945205479442</v>
      </c>
      <c r="AX242" s="116">
        <f t="shared" si="423"/>
        <v>43.114564751279993</v>
      </c>
      <c r="AY242" s="97">
        <f t="shared" si="429"/>
        <v>4.4459420702543726</v>
      </c>
    </row>
    <row r="243" spans="2:51" x14ac:dyDescent="0.35">
      <c r="B243" s="7" t="s">
        <v>142</v>
      </c>
      <c r="C243" s="14">
        <v>9.5000000000000001E-2</v>
      </c>
      <c r="D243" s="9"/>
      <c r="E243" s="9">
        <f>GFA!D244</f>
        <v>0</v>
      </c>
      <c r="F243" s="9">
        <f>GFA!F244</f>
        <v>0</v>
      </c>
      <c r="G243" s="97">
        <f t="shared" si="401"/>
        <v>0</v>
      </c>
      <c r="H243" s="9">
        <v>0</v>
      </c>
      <c r="I243" s="115">
        <f t="shared" si="402"/>
        <v>0</v>
      </c>
      <c r="J243" s="116">
        <f t="shared" si="403"/>
        <v>0</v>
      </c>
      <c r="K243" s="97">
        <f t="shared" si="424"/>
        <v>0</v>
      </c>
      <c r="L243" s="9"/>
      <c r="M243" s="9">
        <f>GFA!L244</f>
        <v>0</v>
      </c>
      <c r="N243" s="9">
        <f>GFA!N244</f>
        <v>3.5527353507530064</v>
      </c>
      <c r="O243" s="97">
        <f t="shared" si="404"/>
        <v>3.1974618156777059</v>
      </c>
      <c r="P243" s="9">
        <f t="shared" si="405"/>
        <v>0</v>
      </c>
      <c r="Q243" s="115">
        <f t="shared" si="406"/>
        <v>0</v>
      </c>
      <c r="R243" s="116">
        <f t="shared" si="407"/>
        <v>3.1974618156777059</v>
      </c>
      <c r="S243" s="97">
        <f t="shared" si="425"/>
        <v>0.16875492916076781</v>
      </c>
      <c r="T243" s="9"/>
      <c r="U243" s="9">
        <f>GFA!T244</f>
        <v>3.5527353507530064</v>
      </c>
      <c r="V243" s="9">
        <f>GFA!V244</f>
        <v>0</v>
      </c>
      <c r="W243" s="97">
        <f t="shared" si="408"/>
        <v>3.1974618156777059</v>
      </c>
      <c r="X243" s="9">
        <f t="shared" si="409"/>
        <v>0.16875492916076781</v>
      </c>
      <c r="Y243" s="115">
        <f t="shared" si="410"/>
        <v>5.2777777777777778E-2</v>
      </c>
      <c r="Z243" s="116">
        <f t="shared" si="411"/>
        <v>3.0287068865169382</v>
      </c>
      <c r="AA243" s="97">
        <f t="shared" si="426"/>
        <v>0.33750985832153563</v>
      </c>
      <c r="AB243" s="9"/>
      <c r="AC243" s="9">
        <f>GFA!AB244</f>
        <v>3.5527353507530064</v>
      </c>
      <c r="AD243" s="9">
        <f>GFA!AD244</f>
        <v>0</v>
      </c>
      <c r="AE243" s="97">
        <f t="shared" si="412"/>
        <v>3.1974618156777059</v>
      </c>
      <c r="AF243" s="9">
        <f t="shared" si="413"/>
        <v>0.50626478748230341</v>
      </c>
      <c r="AG243" s="115">
        <f t="shared" si="414"/>
        <v>0.15833333333333333</v>
      </c>
      <c r="AH243" s="116">
        <f t="shared" si="415"/>
        <v>2.6911970281954023</v>
      </c>
      <c r="AI243" s="97">
        <f t="shared" si="427"/>
        <v>0.33750985832153563</v>
      </c>
      <c r="AJ243" s="9"/>
      <c r="AK243" s="9">
        <f>GFA!AJ244</f>
        <v>3.5527353507530064</v>
      </c>
      <c r="AL243" s="9">
        <f>GFA!AL244</f>
        <v>0</v>
      </c>
      <c r="AM243" s="97">
        <f t="shared" si="416"/>
        <v>3.1974618156777059</v>
      </c>
      <c r="AN243" s="9">
        <f t="shared" si="417"/>
        <v>0.8437746458038391</v>
      </c>
      <c r="AO243" s="115">
        <f t="shared" si="418"/>
        <v>0.2638888888888889</v>
      </c>
      <c r="AP243" s="116">
        <f t="shared" si="419"/>
        <v>2.3536871698738668</v>
      </c>
      <c r="AQ243" s="97">
        <f t="shared" si="428"/>
        <v>0.33750985832153563</v>
      </c>
      <c r="AR243" s="9"/>
      <c r="AS243" s="9">
        <f>GFA!AR244</f>
        <v>3.5527353507530064</v>
      </c>
      <c r="AT243" s="9">
        <f>GFA!AT244</f>
        <v>0</v>
      </c>
      <c r="AU243" s="97">
        <f t="shared" si="420"/>
        <v>3.1974618156777059</v>
      </c>
      <c r="AV243" s="9">
        <f t="shared" si="421"/>
        <v>1.1812845041253748</v>
      </c>
      <c r="AW243" s="115">
        <f t="shared" si="422"/>
        <v>0.36944444444444446</v>
      </c>
      <c r="AX243" s="116">
        <f t="shared" si="423"/>
        <v>2.0161773115523314</v>
      </c>
      <c r="AY243" s="97">
        <f t="shared" si="429"/>
        <v>0.33750985832153563</v>
      </c>
    </row>
    <row r="244" spans="2:51" x14ac:dyDescent="0.35">
      <c r="B244" s="7" t="s">
        <v>143</v>
      </c>
      <c r="C244" s="14">
        <v>6.3299999999999995E-2</v>
      </c>
      <c r="D244" s="9"/>
      <c r="E244" s="9">
        <f>GFA!D245</f>
        <v>0.48355732178563676</v>
      </c>
      <c r="F244" s="9">
        <f>GFA!F245</f>
        <v>0</v>
      </c>
      <c r="G244" s="97">
        <f t="shared" si="401"/>
        <v>0.43520158960707311</v>
      </c>
      <c r="H244" s="9">
        <v>7.186867383002575E-2</v>
      </c>
      <c r="I244" s="115">
        <f t="shared" si="402"/>
        <v>0.16513881278538811</v>
      </c>
      <c r="J244" s="116">
        <f t="shared" si="403"/>
        <v>0.36333291577704735</v>
      </c>
      <c r="K244" s="97">
        <f t="shared" si="424"/>
        <v>3.0609178469030805E-2</v>
      </c>
      <c r="L244" s="9"/>
      <c r="M244" s="9">
        <f>GFA!L245</f>
        <v>0.48355732178563676</v>
      </c>
      <c r="N244" s="9">
        <f>GFA!N245</f>
        <v>0</v>
      </c>
      <c r="O244" s="97">
        <f t="shared" si="404"/>
        <v>0.43520158960707311</v>
      </c>
      <c r="P244" s="9">
        <f t="shared" si="405"/>
        <v>0.10247785229905655</v>
      </c>
      <c r="Q244" s="115">
        <f t="shared" si="406"/>
        <v>0.23547214611872141</v>
      </c>
      <c r="R244" s="116">
        <f t="shared" si="407"/>
        <v>0.33272373730801658</v>
      </c>
      <c r="S244" s="97">
        <f t="shared" si="425"/>
        <v>3.0609178469030805E-2</v>
      </c>
      <c r="T244" s="9"/>
      <c r="U244" s="9">
        <f>GFA!T245</f>
        <v>0.48355732178563676</v>
      </c>
      <c r="V244" s="9">
        <f>GFA!V245</f>
        <v>0</v>
      </c>
      <c r="W244" s="97">
        <f t="shared" si="408"/>
        <v>0.43520158960707311</v>
      </c>
      <c r="X244" s="9">
        <f t="shared" si="409"/>
        <v>0.13308703076808737</v>
      </c>
      <c r="Y244" s="115">
        <f t="shared" si="410"/>
        <v>0.30580547945205477</v>
      </c>
      <c r="Z244" s="116">
        <f t="shared" si="411"/>
        <v>0.30211455883898575</v>
      </c>
      <c r="AA244" s="97">
        <f t="shared" si="426"/>
        <v>3.0609178469030805E-2</v>
      </c>
      <c r="AB244" s="9"/>
      <c r="AC244" s="9">
        <f>GFA!AB245</f>
        <v>0.48355732178563676</v>
      </c>
      <c r="AD244" s="9">
        <f>GFA!AD245</f>
        <v>0</v>
      </c>
      <c r="AE244" s="97">
        <f t="shared" si="412"/>
        <v>0.43520158960707311</v>
      </c>
      <c r="AF244" s="9">
        <f t="shared" si="413"/>
        <v>0.16369620923711817</v>
      </c>
      <c r="AG244" s="115">
        <f t="shared" si="414"/>
        <v>0.37613881278538808</v>
      </c>
      <c r="AH244" s="116">
        <f t="shared" si="415"/>
        <v>0.27150538036995497</v>
      </c>
      <c r="AI244" s="97">
        <f t="shared" si="427"/>
        <v>3.0609178469030805E-2</v>
      </c>
      <c r="AJ244" s="9"/>
      <c r="AK244" s="9">
        <f>GFA!AJ245</f>
        <v>0.48355732178563676</v>
      </c>
      <c r="AL244" s="9">
        <f>GFA!AL245</f>
        <v>0</v>
      </c>
      <c r="AM244" s="97">
        <f t="shared" si="416"/>
        <v>0.43520158960707311</v>
      </c>
      <c r="AN244" s="9">
        <f t="shared" si="417"/>
        <v>0.19430538770614897</v>
      </c>
      <c r="AO244" s="115">
        <f t="shared" si="418"/>
        <v>0.44647214611872138</v>
      </c>
      <c r="AP244" s="116">
        <f t="shared" si="419"/>
        <v>0.24089620190092415</v>
      </c>
      <c r="AQ244" s="97">
        <f t="shared" si="428"/>
        <v>3.0609178469030805E-2</v>
      </c>
      <c r="AR244" s="9"/>
      <c r="AS244" s="9">
        <f>GFA!AR245</f>
        <v>0.48355732178563676</v>
      </c>
      <c r="AT244" s="9">
        <f>GFA!AT245</f>
        <v>0</v>
      </c>
      <c r="AU244" s="97">
        <f t="shared" si="420"/>
        <v>0.43520158960707311</v>
      </c>
      <c r="AV244" s="9">
        <f t="shared" si="421"/>
        <v>0.22491456617517977</v>
      </c>
      <c r="AW244" s="115">
        <f t="shared" si="422"/>
        <v>0.51680547945205468</v>
      </c>
      <c r="AX244" s="116">
        <f t="shared" si="423"/>
        <v>0.21028702343189334</v>
      </c>
      <c r="AY244" s="97">
        <f t="shared" si="429"/>
        <v>3.0609178469030805E-2</v>
      </c>
    </row>
    <row r="245" spans="2:51" x14ac:dyDescent="0.35">
      <c r="B245" s="7" t="s">
        <v>144</v>
      </c>
      <c r="C245" s="14">
        <v>6.3299999999999995E-2</v>
      </c>
      <c r="D245" s="9"/>
      <c r="E245" s="9">
        <f>GFA!D246</f>
        <v>0.20148221741068198</v>
      </c>
      <c r="F245" s="9">
        <f>GFA!F246</f>
        <v>0</v>
      </c>
      <c r="G245" s="97">
        <f t="shared" si="401"/>
        <v>0.18133399566961378</v>
      </c>
      <c r="H245" s="9">
        <v>2.9945280762510726E-2</v>
      </c>
      <c r="I245" s="115">
        <f t="shared" si="402"/>
        <v>0.16513881278538811</v>
      </c>
      <c r="J245" s="116">
        <f t="shared" si="403"/>
        <v>0.15138871490710304</v>
      </c>
      <c r="K245" s="97">
        <f t="shared" si="424"/>
        <v>1.2753824362096168E-2</v>
      </c>
      <c r="L245" s="9"/>
      <c r="M245" s="9">
        <f>GFA!L246</f>
        <v>0.20148221741068198</v>
      </c>
      <c r="N245" s="9">
        <f>GFA!N246</f>
        <v>0</v>
      </c>
      <c r="O245" s="97">
        <f t="shared" si="404"/>
        <v>0.18133399566961378</v>
      </c>
      <c r="P245" s="9">
        <f t="shared" si="405"/>
        <v>4.2699105124606895E-2</v>
      </c>
      <c r="Q245" s="115">
        <f t="shared" si="406"/>
        <v>0.23547214611872144</v>
      </c>
      <c r="R245" s="116">
        <f t="shared" si="407"/>
        <v>0.13863489054500688</v>
      </c>
      <c r="S245" s="97">
        <f t="shared" si="425"/>
        <v>1.2753824362096168E-2</v>
      </c>
      <c r="T245" s="9"/>
      <c r="U245" s="9">
        <f>GFA!T246</f>
        <v>0.20148221741068198</v>
      </c>
      <c r="V245" s="9">
        <f>GFA!V246</f>
        <v>0</v>
      </c>
      <c r="W245" s="97">
        <f t="shared" si="408"/>
        <v>0.18133399566961378</v>
      </c>
      <c r="X245" s="9">
        <f t="shared" si="409"/>
        <v>5.5452929486703065E-2</v>
      </c>
      <c r="Y245" s="115">
        <f t="shared" si="410"/>
        <v>0.30580547945205477</v>
      </c>
      <c r="Z245" s="116">
        <f t="shared" si="411"/>
        <v>0.12588106618291073</v>
      </c>
      <c r="AA245" s="97">
        <f t="shared" si="426"/>
        <v>1.2753824362096168E-2</v>
      </c>
      <c r="AB245" s="9"/>
      <c r="AC245" s="9">
        <f>GFA!AB246</f>
        <v>0.20148221741068198</v>
      </c>
      <c r="AD245" s="9">
        <f>GFA!AD246</f>
        <v>0</v>
      </c>
      <c r="AE245" s="97">
        <f t="shared" si="412"/>
        <v>0.18133399566961378</v>
      </c>
      <c r="AF245" s="9">
        <f t="shared" si="413"/>
        <v>6.8206753848799234E-2</v>
      </c>
      <c r="AG245" s="115">
        <f t="shared" si="414"/>
        <v>0.37613881278538808</v>
      </c>
      <c r="AH245" s="116">
        <f t="shared" si="415"/>
        <v>0.11312724182081454</v>
      </c>
      <c r="AI245" s="97">
        <f t="shared" si="427"/>
        <v>1.2753824362096168E-2</v>
      </c>
      <c r="AJ245" s="9"/>
      <c r="AK245" s="9">
        <f>GFA!AJ246</f>
        <v>0.20148221741068198</v>
      </c>
      <c r="AL245" s="9">
        <f>GFA!AL246</f>
        <v>0</v>
      </c>
      <c r="AM245" s="97">
        <f t="shared" si="416"/>
        <v>0.18133399566961378</v>
      </c>
      <c r="AN245" s="9">
        <f t="shared" si="417"/>
        <v>8.0960578210895404E-2</v>
      </c>
      <c r="AO245" s="115">
        <f t="shared" si="418"/>
        <v>0.44647214611872144</v>
      </c>
      <c r="AP245" s="116">
        <f t="shared" si="419"/>
        <v>0.10037341745871838</v>
      </c>
      <c r="AQ245" s="97">
        <f t="shared" si="428"/>
        <v>1.2753824362096168E-2</v>
      </c>
      <c r="AR245" s="9"/>
      <c r="AS245" s="9">
        <f>GFA!AR246</f>
        <v>0.20148221741068198</v>
      </c>
      <c r="AT245" s="9">
        <f>GFA!AT246</f>
        <v>0</v>
      </c>
      <c r="AU245" s="97">
        <f t="shared" si="420"/>
        <v>0.18133399566961378</v>
      </c>
      <c r="AV245" s="9">
        <f t="shared" si="421"/>
        <v>9.3714402572991573E-2</v>
      </c>
      <c r="AW245" s="115">
        <f t="shared" si="422"/>
        <v>0.51680547945205479</v>
      </c>
      <c r="AX245" s="116">
        <f t="shared" si="423"/>
        <v>8.7619593096622206E-2</v>
      </c>
      <c r="AY245" s="97">
        <f t="shared" si="429"/>
        <v>1.2753824362096168E-2</v>
      </c>
    </row>
    <row r="246" spans="2:51" x14ac:dyDescent="0.35">
      <c r="B246" s="7" t="s">
        <v>145</v>
      </c>
      <c r="C246" s="14">
        <v>6.3299999999999995E-2</v>
      </c>
      <c r="D246" s="9"/>
      <c r="E246" s="9">
        <f>GFA!D247</f>
        <v>0</v>
      </c>
      <c r="F246" s="9">
        <f>GFA!F247</f>
        <v>0</v>
      </c>
      <c r="G246" s="97">
        <f t="shared" si="401"/>
        <v>0</v>
      </c>
      <c r="H246" s="9">
        <v>0</v>
      </c>
      <c r="I246" s="115">
        <f t="shared" si="402"/>
        <v>0</v>
      </c>
      <c r="J246" s="116">
        <f t="shared" si="403"/>
        <v>0</v>
      </c>
      <c r="K246" s="97">
        <f t="shared" si="424"/>
        <v>0</v>
      </c>
      <c r="L246" s="9"/>
      <c r="M246" s="9">
        <f>GFA!L247</f>
        <v>0</v>
      </c>
      <c r="N246" s="9">
        <f>GFA!N247</f>
        <v>0</v>
      </c>
      <c r="O246" s="97">
        <f t="shared" si="404"/>
        <v>0</v>
      </c>
      <c r="P246" s="9">
        <f t="shared" si="405"/>
        <v>0</v>
      </c>
      <c r="Q246" s="115">
        <f t="shared" si="406"/>
        <v>0</v>
      </c>
      <c r="R246" s="116">
        <f t="shared" si="407"/>
        <v>0</v>
      </c>
      <c r="S246" s="97">
        <f t="shared" si="425"/>
        <v>0</v>
      </c>
      <c r="T246" s="9"/>
      <c r="U246" s="9">
        <f>GFA!T247</f>
        <v>0</v>
      </c>
      <c r="V246" s="9">
        <f>GFA!V247</f>
        <v>0</v>
      </c>
      <c r="W246" s="97">
        <f t="shared" si="408"/>
        <v>0</v>
      </c>
      <c r="X246" s="9">
        <f t="shared" si="409"/>
        <v>0</v>
      </c>
      <c r="Y246" s="115">
        <f t="shared" si="410"/>
        <v>0</v>
      </c>
      <c r="Z246" s="116">
        <f t="shared" si="411"/>
        <v>0</v>
      </c>
      <c r="AA246" s="97">
        <f t="shared" si="426"/>
        <v>0</v>
      </c>
      <c r="AB246" s="9"/>
      <c r="AC246" s="9">
        <f>GFA!AB247</f>
        <v>0</v>
      </c>
      <c r="AD246" s="9">
        <f>GFA!AD247</f>
        <v>0</v>
      </c>
      <c r="AE246" s="97">
        <f t="shared" si="412"/>
        <v>0</v>
      </c>
      <c r="AF246" s="9">
        <f t="shared" si="413"/>
        <v>0</v>
      </c>
      <c r="AG246" s="115">
        <f t="shared" si="414"/>
        <v>0</v>
      </c>
      <c r="AH246" s="116">
        <f t="shared" si="415"/>
        <v>0</v>
      </c>
      <c r="AI246" s="97">
        <f t="shared" si="427"/>
        <v>0</v>
      </c>
      <c r="AJ246" s="9"/>
      <c r="AK246" s="9">
        <f>GFA!AJ247</f>
        <v>0</v>
      </c>
      <c r="AL246" s="9">
        <f>GFA!AL247</f>
        <v>0</v>
      </c>
      <c r="AM246" s="97">
        <f t="shared" si="416"/>
        <v>0</v>
      </c>
      <c r="AN246" s="9">
        <f t="shared" si="417"/>
        <v>0</v>
      </c>
      <c r="AO246" s="115">
        <f t="shared" si="418"/>
        <v>0</v>
      </c>
      <c r="AP246" s="116">
        <f t="shared" si="419"/>
        <v>0</v>
      </c>
      <c r="AQ246" s="97">
        <f t="shared" si="428"/>
        <v>0</v>
      </c>
      <c r="AR246" s="9"/>
      <c r="AS246" s="9">
        <f>GFA!AR247</f>
        <v>0</v>
      </c>
      <c r="AT246" s="9">
        <f>GFA!AT247</f>
        <v>0</v>
      </c>
      <c r="AU246" s="97">
        <f t="shared" si="420"/>
        <v>0</v>
      </c>
      <c r="AV246" s="9">
        <f t="shared" si="421"/>
        <v>0</v>
      </c>
      <c r="AW246" s="115">
        <f t="shared" si="422"/>
        <v>0</v>
      </c>
      <c r="AX246" s="116">
        <f t="shared" si="423"/>
        <v>0</v>
      </c>
      <c r="AY246" s="97">
        <f t="shared" si="429"/>
        <v>0</v>
      </c>
    </row>
    <row r="247" spans="2:51" x14ac:dyDescent="0.35">
      <c r="B247" s="7" t="s">
        <v>146</v>
      </c>
      <c r="C247" s="14">
        <v>0.15</v>
      </c>
      <c r="D247" s="9"/>
      <c r="E247" s="9">
        <f>GFA!D248</f>
        <v>0</v>
      </c>
      <c r="F247" s="9">
        <f>GFA!F248</f>
        <v>0</v>
      </c>
      <c r="G247" s="97">
        <f t="shared" si="401"/>
        <v>0</v>
      </c>
      <c r="H247" s="9">
        <v>0</v>
      </c>
      <c r="I247" s="115">
        <f t="shared" si="402"/>
        <v>0</v>
      </c>
      <c r="J247" s="116">
        <f t="shared" si="403"/>
        <v>0</v>
      </c>
      <c r="K247" s="97">
        <f t="shared" si="424"/>
        <v>0</v>
      </c>
      <c r="L247" s="9"/>
      <c r="M247" s="9">
        <f>GFA!L248</f>
        <v>0</v>
      </c>
      <c r="N247" s="9">
        <f>GFA!N248</f>
        <v>0</v>
      </c>
      <c r="O247" s="97">
        <f t="shared" si="404"/>
        <v>0</v>
      </c>
      <c r="P247" s="9">
        <f t="shared" si="405"/>
        <v>0</v>
      </c>
      <c r="Q247" s="115">
        <f t="shared" si="406"/>
        <v>0</v>
      </c>
      <c r="R247" s="116">
        <f t="shared" si="407"/>
        <v>0</v>
      </c>
      <c r="S247" s="97">
        <f t="shared" si="425"/>
        <v>0</v>
      </c>
      <c r="T247" s="9"/>
      <c r="U247" s="9">
        <f>GFA!T248</f>
        <v>0</v>
      </c>
      <c r="V247" s="9">
        <f>GFA!V248</f>
        <v>0</v>
      </c>
      <c r="W247" s="97">
        <f t="shared" si="408"/>
        <v>0</v>
      </c>
      <c r="X247" s="9">
        <f t="shared" si="409"/>
        <v>0</v>
      </c>
      <c r="Y247" s="115">
        <f t="shared" si="410"/>
        <v>0</v>
      </c>
      <c r="Z247" s="116">
        <f t="shared" si="411"/>
        <v>0</v>
      </c>
      <c r="AA247" s="97">
        <f t="shared" si="426"/>
        <v>0</v>
      </c>
      <c r="AB247" s="9"/>
      <c r="AC247" s="9">
        <f>GFA!AB248</f>
        <v>0</v>
      </c>
      <c r="AD247" s="9">
        <f>GFA!AD248</f>
        <v>0</v>
      </c>
      <c r="AE247" s="97">
        <f t="shared" si="412"/>
        <v>0</v>
      </c>
      <c r="AF247" s="9">
        <f t="shared" si="413"/>
        <v>0</v>
      </c>
      <c r="AG247" s="115">
        <f t="shared" si="414"/>
        <v>0</v>
      </c>
      <c r="AH247" s="116">
        <f t="shared" si="415"/>
        <v>0</v>
      </c>
      <c r="AI247" s="97">
        <f t="shared" si="427"/>
        <v>0</v>
      </c>
      <c r="AJ247" s="9"/>
      <c r="AK247" s="9">
        <f>GFA!AJ248</f>
        <v>0</v>
      </c>
      <c r="AL247" s="9">
        <f>GFA!AL248</f>
        <v>0</v>
      </c>
      <c r="AM247" s="97">
        <f t="shared" si="416"/>
        <v>0</v>
      </c>
      <c r="AN247" s="9">
        <f t="shared" si="417"/>
        <v>0</v>
      </c>
      <c r="AO247" s="115">
        <f t="shared" si="418"/>
        <v>0</v>
      </c>
      <c r="AP247" s="116">
        <f t="shared" si="419"/>
        <v>0</v>
      </c>
      <c r="AQ247" s="97">
        <f t="shared" si="428"/>
        <v>0</v>
      </c>
      <c r="AR247" s="9"/>
      <c r="AS247" s="9">
        <f>GFA!AR248</f>
        <v>0</v>
      </c>
      <c r="AT247" s="9">
        <f>GFA!AT248</f>
        <v>0</v>
      </c>
      <c r="AU247" s="97">
        <f t="shared" si="420"/>
        <v>0</v>
      </c>
      <c r="AV247" s="9">
        <f t="shared" si="421"/>
        <v>0</v>
      </c>
      <c r="AW247" s="115">
        <f t="shared" si="422"/>
        <v>0</v>
      </c>
      <c r="AX247" s="116">
        <f t="shared" si="423"/>
        <v>0</v>
      </c>
      <c r="AY247" s="97">
        <f t="shared" si="429"/>
        <v>0</v>
      </c>
    </row>
    <row r="248" spans="2:51" x14ac:dyDescent="0.35">
      <c r="B248" s="7" t="s">
        <v>147</v>
      </c>
      <c r="C248" s="14">
        <v>0.3</v>
      </c>
      <c r="D248" s="9"/>
      <c r="E248" s="9">
        <f>GFA!D249</f>
        <v>0</v>
      </c>
      <c r="F248" s="9">
        <f>GFA!F249</f>
        <v>0</v>
      </c>
      <c r="G248" s="97">
        <f t="shared" si="401"/>
        <v>0</v>
      </c>
      <c r="H248" s="9">
        <v>0</v>
      </c>
      <c r="I248" s="115">
        <f t="shared" si="402"/>
        <v>0</v>
      </c>
      <c r="J248" s="116">
        <f t="shared" si="403"/>
        <v>0</v>
      </c>
      <c r="K248" s="97">
        <f t="shared" si="424"/>
        <v>0</v>
      </c>
      <c r="L248" s="9"/>
      <c r="M248" s="9">
        <f>GFA!L249</f>
        <v>0</v>
      </c>
      <c r="N248" s="9">
        <f>GFA!N249</f>
        <v>0</v>
      </c>
      <c r="O248" s="97">
        <f t="shared" si="404"/>
        <v>0</v>
      </c>
      <c r="P248" s="9">
        <f t="shared" si="405"/>
        <v>0</v>
      </c>
      <c r="Q248" s="115">
        <f t="shared" si="406"/>
        <v>0</v>
      </c>
      <c r="R248" s="116">
        <f t="shared" si="407"/>
        <v>0</v>
      </c>
      <c r="S248" s="97">
        <f t="shared" si="425"/>
        <v>0</v>
      </c>
      <c r="T248" s="9"/>
      <c r="U248" s="9">
        <f>GFA!T249</f>
        <v>0</v>
      </c>
      <c r="V248" s="9">
        <f>GFA!V249</f>
        <v>0</v>
      </c>
      <c r="W248" s="97">
        <f t="shared" si="408"/>
        <v>0</v>
      </c>
      <c r="X248" s="9">
        <f t="shared" si="409"/>
        <v>0</v>
      </c>
      <c r="Y248" s="115">
        <f t="shared" si="410"/>
        <v>0</v>
      </c>
      <c r="Z248" s="116">
        <f t="shared" si="411"/>
        <v>0</v>
      </c>
      <c r="AA248" s="97">
        <f t="shared" si="426"/>
        <v>0</v>
      </c>
      <c r="AB248" s="9"/>
      <c r="AC248" s="9">
        <f>GFA!AB249</f>
        <v>0</v>
      </c>
      <c r="AD248" s="9">
        <f>GFA!AD249</f>
        <v>0</v>
      </c>
      <c r="AE248" s="97">
        <f t="shared" si="412"/>
        <v>0</v>
      </c>
      <c r="AF248" s="9">
        <f t="shared" si="413"/>
        <v>0</v>
      </c>
      <c r="AG248" s="115">
        <f t="shared" si="414"/>
        <v>0</v>
      </c>
      <c r="AH248" s="116">
        <f t="shared" si="415"/>
        <v>0</v>
      </c>
      <c r="AI248" s="97">
        <f t="shared" si="427"/>
        <v>0</v>
      </c>
      <c r="AJ248" s="9"/>
      <c r="AK248" s="9">
        <f>GFA!AJ249</f>
        <v>0</v>
      </c>
      <c r="AL248" s="9">
        <f>GFA!AL249</f>
        <v>0</v>
      </c>
      <c r="AM248" s="97">
        <f t="shared" si="416"/>
        <v>0</v>
      </c>
      <c r="AN248" s="9">
        <f t="shared" si="417"/>
        <v>0</v>
      </c>
      <c r="AO248" s="115">
        <f t="shared" si="418"/>
        <v>0</v>
      </c>
      <c r="AP248" s="116">
        <f t="shared" si="419"/>
        <v>0</v>
      </c>
      <c r="AQ248" s="97">
        <f t="shared" si="428"/>
        <v>0</v>
      </c>
      <c r="AR248" s="9"/>
      <c r="AS248" s="9">
        <f>GFA!AR249</f>
        <v>0</v>
      </c>
      <c r="AT248" s="9">
        <f>GFA!AT249</f>
        <v>0</v>
      </c>
      <c r="AU248" s="97">
        <f t="shared" si="420"/>
        <v>0</v>
      </c>
      <c r="AV248" s="9">
        <f t="shared" si="421"/>
        <v>0</v>
      </c>
      <c r="AW248" s="115">
        <f t="shared" si="422"/>
        <v>0</v>
      </c>
      <c r="AX248" s="116">
        <f t="shared" si="423"/>
        <v>0</v>
      </c>
      <c r="AY248" s="97">
        <f t="shared" si="429"/>
        <v>0</v>
      </c>
    </row>
    <row r="249" spans="2:51" x14ac:dyDescent="0.35">
      <c r="B249" s="7" t="s">
        <v>148</v>
      </c>
      <c r="C249" s="14">
        <v>0.3</v>
      </c>
      <c r="D249" s="9"/>
      <c r="E249" s="9">
        <f>GFA!D250</f>
        <v>0</v>
      </c>
      <c r="F249" s="9">
        <f>GFA!F250</f>
        <v>0</v>
      </c>
      <c r="G249" s="97">
        <f t="shared" si="401"/>
        <v>0</v>
      </c>
      <c r="H249" s="9">
        <v>0</v>
      </c>
      <c r="I249" s="115">
        <f t="shared" si="402"/>
        <v>0</v>
      </c>
      <c r="J249" s="116">
        <f t="shared" si="403"/>
        <v>0</v>
      </c>
      <c r="K249" s="97">
        <f t="shared" si="424"/>
        <v>0</v>
      </c>
      <c r="L249" s="9"/>
      <c r="M249" s="9">
        <f>GFA!L250</f>
        <v>0</v>
      </c>
      <c r="N249" s="9">
        <f>GFA!N250</f>
        <v>0</v>
      </c>
      <c r="O249" s="97">
        <f t="shared" si="404"/>
        <v>0</v>
      </c>
      <c r="P249" s="9">
        <f t="shared" si="405"/>
        <v>0</v>
      </c>
      <c r="Q249" s="115">
        <f t="shared" si="406"/>
        <v>0</v>
      </c>
      <c r="R249" s="116">
        <f t="shared" si="407"/>
        <v>0</v>
      </c>
      <c r="S249" s="97">
        <f t="shared" si="425"/>
        <v>0</v>
      </c>
      <c r="T249" s="9"/>
      <c r="U249" s="9">
        <f>GFA!T250</f>
        <v>0</v>
      </c>
      <c r="V249" s="9">
        <f>GFA!V250</f>
        <v>0</v>
      </c>
      <c r="W249" s="97">
        <f t="shared" si="408"/>
        <v>0</v>
      </c>
      <c r="X249" s="9">
        <f t="shared" si="409"/>
        <v>0</v>
      </c>
      <c r="Y249" s="115">
        <f t="shared" si="410"/>
        <v>0</v>
      </c>
      <c r="Z249" s="116">
        <f t="shared" si="411"/>
        <v>0</v>
      </c>
      <c r="AA249" s="97">
        <f t="shared" si="426"/>
        <v>0</v>
      </c>
      <c r="AB249" s="9"/>
      <c r="AC249" s="9">
        <f>GFA!AB250</f>
        <v>0</v>
      </c>
      <c r="AD249" s="9">
        <f>GFA!AD250</f>
        <v>0</v>
      </c>
      <c r="AE249" s="97">
        <f t="shared" si="412"/>
        <v>0</v>
      </c>
      <c r="AF249" s="9">
        <f t="shared" si="413"/>
        <v>0</v>
      </c>
      <c r="AG249" s="115">
        <f t="shared" si="414"/>
        <v>0</v>
      </c>
      <c r="AH249" s="116">
        <f t="shared" si="415"/>
        <v>0</v>
      </c>
      <c r="AI249" s="97">
        <f t="shared" si="427"/>
        <v>0</v>
      </c>
      <c r="AJ249" s="9"/>
      <c r="AK249" s="9">
        <f>GFA!AJ250</f>
        <v>0</v>
      </c>
      <c r="AL249" s="9">
        <f>GFA!AL250</f>
        <v>0</v>
      </c>
      <c r="AM249" s="97">
        <f t="shared" si="416"/>
        <v>0</v>
      </c>
      <c r="AN249" s="9">
        <f t="shared" si="417"/>
        <v>0</v>
      </c>
      <c r="AO249" s="115">
        <f t="shared" si="418"/>
        <v>0</v>
      </c>
      <c r="AP249" s="116">
        <f t="shared" si="419"/>
        <v>0</v>
      </c>
      <c r="AQ249" s="97">
        <f t="shared" si="428"/>
        <v>0</v>
      </c>
      <c r="AR249" s="9"/>
      <c r="AS249" s="9">
        <f>GFA!AR250</f>
        <v>0</v>
      </c>
      <c r="AT249" s="9">
        <f>GFA!AT250</f>
        <v>0</v>
      </c>
      <c r="AU249" s="97">
        <f t="shared" si="420"/>
        <v>0</v>
      </c>
      <c r="AV249" s="9">
        <f t="shared" si="421"/>
        <v>0</v>
      </c>
      <c r="AW249" s="115">
        <f t="shared" si="422"/>
        <v>0</v>
      </c>
      <c r="AX249" s="116">
        <f t="shared" si="423"/>
        <v>0</v>
      </c>
      <c r="AY249" s="97">
        <f t="shared" si="429"/>
        <v>0</v>
      </c>
    </row>
    <row r="250" spans="2:51" ht="31" x14ac:dyDescent="0.35">
      <c r="B250" s="84" t="s">
        <v>149</v>
      </c>
      <c r="C250" s="117">
        <v>3.3399999999999999E-2</v>
      </c>
      <c r="D250" s="9"/>
      <c r="E250" s="9">
        <f>GFA!D251</f>
        <v>0</v>
      </c>
      <c r="F250" s="9">
        <f>GFA!F251</f>
        <v>0</v>
      </c>
      <c r="G250" s="97">
        <f t="shared" si="401"/>
        <v>0</v>
      </c>
      <c r="H250" s="9">
        <v>0</v>
      </c>
      <c r="I250" s="115">
        <f t="shared" si="402"/>
        <v>0</v>
      </c>
      <c r="J250" s="116">
        <f t="shared" si="403"/>
        <v>0</v>
      </c>
      <c r="K250" s="97">
        <f t="shared" si="424"/>
        <v>0</v>
      </c>
      <c r="L250" s="9"/>
      <c r="M250" s="9">
        <f>GFA!L251</f>
        <v>0</v>
      </c>
      <c r="N250" s="9">
        <f>GFA!N251</f>
        <v>0</v>
      </c>
      <c r="O250" s="97">
        <f t="shared" si="404"/>
        <v>0</v>
      </c>
      <c r="P250" s="9">
        <f t="shared" si="405"/>
        <v>0</v>
      </c>
      <c r="Q250" s="115">
        <f t="shared" si="406"/>
        <v>0</v>
      </c>
      <c r="R250" s="116">
        <f t="shared" si="407"/>
        <v>0</v>
      </c>
      <c r="S250" s="97">
        <f t="shared" si="425"/>
        <v>0</v>
      </c>
      <c r="T250" s="9"/>
      <c r="U250" s="9">
        <f>GFA!T251</f>
        <v>0</v>
      </c>
      <c r="V250" s="9">
        <f>GFA!V251</f>
        <v>0</v>
      </c>
      <c r="W250" s="97">
        <f t="shared" si="408"/>
        <v>0</v>
      </c>
      <c r="X250" s="9">
        <f t="shared" si="409"/>
        <v>0</v>
      </c>
      <c r="Y250" s="115">
        <f t="shared" si="410"/>
        <v>0</v>
      </c>
      <c r="Z250" s="116">
        <f t="shared" si="411"/>
        <v>0</v>
      </c>
      <c r="AA250" s="97">
        <f t="shared" si="426"/>
        <v>0</v>
      </c>
      <c r="AB250" s="9"/>
      <c r="AC250" s="9">
        <f>GFA!AB251</f>
        <v>0</v>
      </c>
      <c r="AD250" s="9">
        <f>GFA!AD251</f>
        <v>0</v>
      </c>
      <c r="AE250" s="97">
        <f t="shared" si="412"/>
        <v>0</v>
      </c>
      <c r="AF250" s="9">
        <f t="shared" si="413"/>
        <v>0</v>
      </c>
      <c r="AG250" s="115">
        <f t="shared" si="414"/>
        <v>0</v>
      </c>
      <c r="AH250" s="116">
        <f t="shared" si="415"/>
        <v>0</v>
      </c>
      <c r="AI250" s="97">
        <f t="shared" si="427"/>
        <v>0</v>
      </c>
      <c r="AJ250" s="9"/>
      <c r="AK250" s="9">
        <f>GFA!AJ251</f>
        <v>0</v>
      </c>
      <c r="AL250" s="9">
        <f>GFA!AL251</f>
        <v>0</v>
      </c>
      <c r="AM250" s="97">
        <f t="shared" si="416"/>
        <v>0</v>
      </c>
      <c r="AN250" s="9">
        <f t="shared" si="417"/>
        <v>0</v>
      </c>
      <c r="AO250" s="115">
        <f t="shared" si="418"/>
        <v>0</v>
      </c>
      <c r="AP250" s="116">
        <f t="shared" si="419"/>
        <v>0</v>
      </c>
      <c r="AQ250" s="97">
        <f t="shared" si="428"/>
        <v>0</v>
      </c>
      <c r="AR250" s="9"/>
      <c r="AS250" s="9">
        <f>GFA!AR251</f>
        <v>0</v>
      </c>
      <c r="AT250" s="9">
        <f>GFA!AT251</f>
        <v>0</v>
      </c>
      <c r="AU250" s="97">
        <f t="shared" si="420"/>
        <v>0</v>
      </c>
      <c r="AV250" s="9">
        <f t="shared" si="421"/>
        <v>0</v>
      </c>
      <c r="AW250" s="115">
        <f t="shared" si="422"/>
        <v>0</v>
      </c>
      <c r="AX250" s="116">
        <f t="shared" si="423"/>
        <v>0</v>
      </c>
      <c r="AY250" s="97">
        <f t="shared" si="429"/>
        <v>0</v>
      </c>
    </row>
    <row r="251" spans="2:51" x14ac:dyDescent="0.35">
      <c r="B251" s="12" t="s">
        <v>27</v>
      </c>
      <c r="C251" s="12"/>
      <c r="D251" s="13"/>
      <c r="E251" s="13">
        <f t="shared" ref="E251:AY251" si="430">SUM(E234:E250)</f>
        <v>6020.5194239029879</v>
      </c>
      <c r="F251" s="13">
        <f t="shared" si="430"/>
        <v>7.1599862339999998</v>
      </c>
      <c r="G251" s="13">
        <f t="shared" si="430"/>
        <v>5424.911469123289</v>
      </c>
      <c r="H251" s="13">
        <f t="shared" si="430"/>
        <v>783.49421108559704</v>
      </c>
      <c r="I251" s="13"/>
      <c r="J251" s="13">
        <f t="shared" si="430"/>
        <v>4641.4172580376926</v>
      </c>
      <c r="K251" s="13">
        <f t="shared" si="430"/>
        <v>316.94031461056051</v>
      </c>
      <c r="L251" s="13"/>
      <c r="M251" s="13">
        <f t="shared" si="430"/>
        <v>6027.6794101369887</v>
      </c>
      <c r="N251" s="13">
        <f t="shared" si="430"/>
        <v>70.744538981000005</v>
      </c>
      <c r="O251" s="13">
        <f t="shared" si="430"/>
        <v>5488.5815542061891</v>
      </c>
      <c r="P251" s="13">
        <f t="shared" si="430"/>
        <v>1100.4345256961576</v>
      </c>
      <c r="Q251" s="13"/>
      <c r="R251" s="13">
        <f t="shared" si="430"/>
        <v>4388.1470285100304</v>
      </c>
      <c r="S251" s="13">
        <f t="shared" si="430"/>
        <v>318.77698578524502</v>
      </c>
      <c r="T251" s="13"/>
      <c r="U251" s="13">
        <f t="shared" si="430"/>
        <v>6098.4239491179887</v>
      </c>
      <c r="V251" s="13">
        <f t="shared" si="430"/>
        <v>226.02000000000004</v>
      </c>
      <c r="W251" s="13">
        <f t="shared" si="430"/>
        <v>5691.9995542061888</v>
      </c>
      <c r="X251" s="13">
        <f t="shared" si="430"/>
        <v>1419.2115114814023</v>
      </c>
      <c r="Y251" s="13"/>
      <c r="Z251" s="13">
        <f t="shared" si="430"/>
        <v>4272.7880427247865</v>
      </c>
      <c r="AA251" s="13">
        <f t="shared" si="430"/>
        <v>326.35057243001796</v>
      </c>
      <c r="AB251" s="13"/>
      <c r="AC251" s="13">
        <f t="shared" si="430"/>
        <v>6324.4439491179883</v>
      </c>
      <c r="AD251" s="13">
        <f t="shared" si="430"/>
        <v>158.41999999999996</v>
      </c>
      <c r="AE251" s="13">
        <f t="shared" si="430"/>
        <v>5834.5775542061883</v>
      </c>
      <c r="AF251" s="13">
        <f t="shared" si="430"/>
        <v>1745.5620839114201</v>
      </c>
      <c r="AG251" s="13"/>
      <c r="AH251" s="13">
        <f t="shared" si="430"/>
        <v>4089.015470294768</v>
      </c>
      <c r="AI251" s="13">
        <f t="shared" si="430"/>
        <v>336.45879953668384</v>
      </c>
      <c r="AJ251" s="13"/>
      <c r="AK251" s="13">
        <f t="shared" si="430"/>
        <v>6482.8639491179883</v>
      </c>
      <c r="AL251" s="13">
        <f t="shared" si="430"/>
        <v>301.75</v>
      </c>
      <c r="AM251" s="13">
        <f t="shared" si="430"/>
        <v>6106.1525542061891</v>
      </c>
      <c r="AN251" s="13">
        <f t="shared" si="430"/>
        <v>2082.0208834481045</v>
      </c>
      <c r="AO251" s="13"/>
      <c r="AP251" s="13">
        <f t="shared" si="430"/>
        <v>4024.1316707580845</v>
      </c>
      <c r="AQ251" s="13">
        <f t="shared" si="430"/>
        <v>348.60728753668383</v>
      </c>
      <c r="AR251" s="13"/>
      <c r="AS251" s="13">
        <f t="shared" si="430"/>
        <v>6784.6139491179883</v>
      </c>
      <c r="AT251" s="13">
        <f t="shared" si="430"/>
        <v>220.27</v>
      </c>
      <c r="AU251" s="13">
        <f t="shared" si="430"/>
        <v>6304.3955542061894</v>
      </c>
      <c r="AV251" s="13">
        <f t="shared" si="430"/>
        <v>2430.6281709847885</v>
      </c>
      <c r="AW251" s="13"/>
      <c r="AX251" s="13">
        <f t="shared" si="430"/>
        <v>3873.7673832214009</v>
      </c>
      <c r="AY251" s="13">
        <f t="shared" si="430"/>
        <v>362.3886155366838</v>
      </c>
    </row>
    <row r="252" spans="2:51" x14ac:dyDescent="0.35">
      <c r="B252" s="70" t="s">
        <v>160</v>
      </c>
      <c r="C252" s="70"/>
      <c r="D252" s="118">
        <v>22</v>
      </c>
      <c r="E252" s="7"/>
      <c r="F252" s="7"/>
      <c r="G252" s="7"/>
      <c r="H252" s="7"/>
      <c r="I252" s="7"/>
      <c r="J252" s="7"/>
      <c r="K252" s="7"/>
      <c r="L252" s="118">
        <f>D252-1</f>
        <v>21</v>
      </c>
      <c r="M252" s="7"/>
      <c r="N252" s="7"/>
      <c r="O252" s="7"/>
      <c r="P252" s="7"/>
      <c r="Q252" s="7"/>
      <c r="R252" s="7"/>
      <c r="S252" s="7"/>
      <c r="T252" s="118">
        <f>L252-1</f>
        <v>20</v>
      </c>
      <c r="U252" s="7"/>
      <c r="V252" s="7"/>
      <c r="W252" s="7"/>
      <c r="X252" s="7"/>
      <c r="Y252" s="7"/>
      <c r="Z252" s="7"/>
      <c r="AA252" s="7"/>
      <c r="AB252" s="118">
        <f>T252-1</f>
        <v>19</v>
      </c>
      <c r="AC252" s="7"/>
      <c r="AD252" s="7"/>
      <c r="AE252" s="7"/>
      <c r="AF252" s="7"/>
      <c r="AG252" s="7"/>
      <c r="AH252" s="7"/>
      <c r="AI252" s="7"/>
      <c r="AJ252" s="118">
        <f>AB252-1</f>
        <v>18</v>
      </c>
      <c r="AK252" s="7"/>
      <c r="AL252" s="7"/>
      <c r="AM252" s="7"/>
      <c r="AN252" s="7"/>
      <c r="AO252" s="7"/>
      <c r="AP252" s="7"/>
      <c r="AQ252" s="7"/>
      <c r="AR252" s="118">
        <f>AJ252-1</f>
        <v>17</v>
      </c>
      <c r="AS252" s="9"/>
      <c r="AT252" s="9"/>
      <c r="AU252" s="9"/>
      <c r="AV252" s="9"/>
      <c r="AW252" s="9"/>
      <c r="AX252" s="9"/>
      <c r="AY252" s="9"/>
    </row>
    <row r="253" spans="2:51" x14ac:dyDescent="0.35">
      <c r="B253" s="7" t="s">
        <v>133</v>
      </c>
      <c r="C253" s="14">
        <v>0</v>
      </c>
      <c r="D253" s="9"/>
      <c r="E253" s="9">
        <f>GFA!D254</f>
        <v>20.516845392948518</v>
      </c>
      <c r="F253" s="9">
        <f>GFA!F254</f>
        <v>0</v>
      </c>
      <c r="G253" s="97">
        <f t="shared" ref="G253:G269" si="431">90%*(E253+F253)</f>
        <v>18.465160853653668</v>
      </c>
      <c r="H253" s="9">
        <v>0</v>
      </c>
      <c r="I253" s="115">
        <f t="shared" ref="I253:I269" si="432">IFERROR(H253/G253,0)</f>
        <v>0</v>
      </c>
      <c r="J253" s="116">
        <f t="shared" ref="J253:J269" si="433">MAX(G253-H253,0)</f>
        <v>18.465160853653668</v>
      </c>
      <c r="K253" s="97">
        <f>IF(I253&lt;70%,MIN(J253,(E253+F253/2)*$C253),J253/D$252)</f>
        <v>0</v>
      </c>
      <c r="L253" s="9"/>
      <c r="M253" s="9">
        <f>GFA!L254</f>
        <v>20.516845392948518</v>
      </c>
      <c r="N253" s="9">
        <f>GFA!N254</f>
        <v>3.1299418915110766E-3</v>
      </c>
      <c r="O253" s="97">
        <f t="shared" ref="O253:O269" si="434">90%*(M253+N253)</f>
        <v>18.467977801356028</v>
      </c>
      <c r="P253" s="9">
        <f t="shared" ref="P253:P269" si="435">H253+K253</f>
        <v>0</v>
      </c>
      <c r="Q253" s="115">
        <f t="shared" ref="Q253:Q269" si="436">IFERROR(P253/O253,0)</f>
        <v>0</v>
      </c>
      <c r="R253" s="116">
        <f t="shared" ref="R253:R269" si="437">MAX(O253-P253,0)</f>
        <v>18.467977801356028</v>
      </c>
      <c r="S253" s="97">
        <f>IF(Q253&lt;70%,MIN(R253,(M253+N253/2)*$C253),R253/L$252)</f>
        <v>0</v>
      </c>
      <c r="T253" s="9"/>
      <c r="U253" s="9">
        <f>GFA!T254</f>
        <v>20.51997533484003</v>
      </c>
      <c r="V253" s="9">
        <f>GFA!V254</f>
        <v>0</v>
      </c>
      <c r="W253" s="97">
        <f t="shared" ref="W253:W269" si="438">90%*(U253+V253)</f>
        <v>18.467977801356028</v>
      </c>
      <c r="X253" s="9">
        <f t="shared" ref="X253:X269" si="439">P253+S253</f>
        <v>0</v>
      </c>
      <c r="Y253" s="115">
        <f t="shared" ref="Y253:Y269" si="440">IFERROR(X253/W253,0)</f>
        <v>0</v>
      </c>
      <c r="Z253" s="116">
        <f t="shared" ref="Z253:Z269" si="441">MAX(W253-X253,0)</f>
        <v>18.467977801356028</v>
      </c>
      <c r="AA253" s="97">
        <f>IF(Y253&lt;70%,MIN(Z253,(U253+V253/2)*$C253),Z253/T$252)</f>
        <v>0</v>
      </c>
      <c r="AB253" s="9"/>
      <c r="AC253" s="9">
        <f>GFA!AB254</f>
        <v>20.51997533484003</v>
      </c>
      <c r="AD253" s="9">
        <f>GFA!AD254</f>
        <v>0</v>
      </c>
      <c r="AE253" s="97">
        <f t="shared" ref="AE253:AE269" si="442">90%*(AC253+AD253)</f>
        <v>18.467977801356028</v>
      </c>
      <c r="AF253" s="9">
        <f t="shared" ref="AF253:AF269" si="443">X253+AA253</f>
        <v>0</v>
      </c>
      <c r="AG253" s="115">
        <f t="shared" ref="AG253:AG269" si="444">IFERROR(AF253/AE253,0)</f>
        <v>0</v>
      </c>
      <c r="AH253" s="116">
        <f t="shared" ref="AH253:AH269" si="445">MAX(AE253-AF253,0)</f>
        <v>18.467977801356028</v>
      </c>
      <c r="AI253" s="97">
        <f>IF(AG253&lt;70%,MIN(AH253,(AC253+AD253/2)*$C253),AH253/AB$252)</f>
        <v>0</v>
      </c>
      <c r="AJ253" s="9"/>
      <c r="AK253" s="9">
        <f>GFA!AJ254</f>
        <v>20.51997533484003</v>
      </c>
      <c r="AL253" s="9">
        <f>GFA!AL254</f>
        <v>0</v>
      </c>
      <c r="AM253" s="97">
        <f t="shared" ref="AM253:AM269" si="446">90%*(AK253+AL253)</f>
        <v>18.467977801356028</v>
      </c>
      <c r="AN253" s="9">
        <f t="shared" ref="AN253:AN269" si="447">AF253+AI253</f>
        <v>0</v>
      </c>
      <c r="AO253" s="115">
        <f t="shared" ref="AO253:AO269" si="448">IFERROR(AN253/AM253,0)</f>
        <v>0</v>
      </c>
      <c r="AP253" s="116">
        <f t="shared" ref="AP253:AP269" si="449">MAX(AM253-AN253,0)</f>
        <v>18.467977801356028</v>
      </c>
      <c r="AQ253" s="97">
        <f>IF(AO253&lt;70%,MIN(AP253,(AK253+AL253/2)*$C253),AP253/AJ$252)</f>
        <v>0</v>
      </c>
      <c r="AR253" s="9"/>
      <c r="AS253" s="9">
        <f>GFA!AR254</f>
        <v>20.51997533484003</v>
      </c>
      <c r="AT253" s="9">
        <f>GFA!AT254</f>
        <v>0</v>
      </c>
      <c r="AU253" s="97">
        <f t="shared" ref="AU253:AU269" si="450">90%*(AS253+AT253)</f>
        <v>18.467977801356028</v>
      </c>
      <c r="AV253" s="9">
        <f t="shared" ref="AV253:AV269" si="451">AN253+AQ253</f>
        <v>0</v>
      </c>
      <c r="AW253" s="115">
        <f t="shared" ref="AW253:AW269" si="452">IFERROR(AV253/AU253,0)</f>
        <v>0</v>
      </c>
      <c r="AX253" s="116">
        <f t="shared" ref="AX253:AX269" si="453">MAX(AU253-AV253,0)</f>
        <v>18.467977801356028</v>
      </c>
      <c r="AY253" s="97">
        <f>IF(AW253&lt;70%,MIN(AX253,(AS253+AT253/2)*$C253),AX253/AR$252)</f>
        <v>0</v>
      </c>
    </row>
    <row r="254" spans="2:51" x14ac:dyDescent="0.35">
      <c r="B254" s="7" t="s">
        <v>134</v>
      </c>
      <c r="C254" s="14">
        <v>3.3399999999999999E-2</v>
      </c>
      <c r="D254" s="9"/>
      <c r="E254" s="9">
        <f>GFA!D255</f>
        <v>125.69166229228557</v>
      </c>
      <c r="F254" s="9">
        <f>GFA!F255</f>
        <v>2.1860761171971737</v>
      </c>
      <c r="G254" s="97">
        <f t="shared" si="431"/>
        <v>115.08996456853447</v>
      </c>
      <c r="H254" s="9">
        <v>9.9259222253295825</v>
      </c>
      <c r="I254" s="115">
        <f t="shared" si="432"/>
        <v>8.6244897741877699E-2</v>
      </c>
      <c r="J254" s="116">
        <f t="shared" si="433"/>
        <v>105.16404234320488</v>
      </c>
      <c r="K254" s="97">
        <f t="shared" ref="K254:K269" si="454">IF(I254&lt;70%,MIN(J254,(E254+F254/2)*$C254),J254/D$252)</f>
        <v>4.2346089917195302</v>
      </c>
      <c r="L254" s="9"/>
      <c r="M254" s="9">
        <f>GFA!L255</f>
        <v>127.87773840948275</v>
      </c>
      <c r="N254" s="9">
        <f>GFA!N255</f>
        <v>7.6498807780799361</v>
      </c>
      <c r="O254" s="97">
        <f t="shared" si="434"/>
        <v>121.97485726880643</v>
      </c>
      <c r="P254" s="9">
        <f t="shared" si="435"/>
        <v>14.160531217049112</v>
      </c>
      <c r="Q254" s="115">
        <f t="shared" si="436"/>
        <v>0.11609385355411679</v>
      </c>
      <c r="R254" s="116">
        <f t="shared" si="437"/>
        <v>107.81432605175732</v>
      </c>
      <c r="S254" s="97">
        <f t="shared" ref="S254:S269" si="455">IF(Q254&lt;70%,MIN(R254,(M254+N254/2)*$C254),R254/L$252)</f>
        <v>4.3988694718706594</v>
      </c>
      <c r="T254" s="9"/>
      <c r="U254" s="9">
        <f>GFA!T255</f>
        <v>135.52761918756269</v>
      </c>
      <c r="V254" s="9">
        <f>GFA!V255</f>
        <v>1.3631234198032618</v>
      </c>
      <c r="W254" s="97">
        <f t="shared" si="438"/>
        <v>123.20166834662936</v>
      </c>
      <c r="X254" s="9">
        <f t="shared" si="439"/>
        <v>18.559400688919773</v>
      </c>
      <c r="Y254" s="115">
        <f t="shared" si="440"/>
        <v>0.15064244614531255</v>
      </c>
      <c r="Z254" s="116">
        <f t="shared" si="441"/>
        <v>104.6422676577096</v>
      </c>
      <c r="AA254" s="97">
        <f t="shared" ref="AA254:AA269" si="456">IF(Y254&lt;70%,MIN(Z254,(U254+V254/2)*$C254),Z254/T$252)</f>
        <v>4.5493866419753086</v>
      </c>
      <c r="AB254" s="9"/>
      <c r="AC254" s="9">
        <f>GFA!AB255</f>
        <v>136.89074260736595</v>
      </c>
      <c r="AD254" s="9">
        <f>GFA!AD255</f>
        <v>0</v>
      </c>
      <c r="AE254" s="97">
        <f t="shared" si="442"/>
        <v>123.20166834662936</v>
      </c>
      <c r="AF254" s="9">
        <f t="shared" si="443"/>
        <v>23.108787330895083</v>
      </c>
      <c r="AG254" s="115">
        <f t="shared" si="444"/>
        <v>0.18756878572356858</v>
      </c>
      <c r="AH254" s="116">
        <f t="shared" si="445"/>
        <v>100.09288101573428</v>
      </c>
      <c r="AI254" s="97">
        <f t="shared" ref="AI254:AI269" si="457">IF(AG254&lt;70%,MIN(AH254,(AC254+AD254/2)*$C254),AH254/AB$252)</f>
        <v>4.5721508030860223</v>
      </c>
      <c r="AJ254" s="9"/>
      <c r="AK254" s="9">
        <f>GFA!AJ255</f>
        <v>136.89074260736595</v>
      </c>
      <c r="AL254" s="9">
        <f>GFA!AL255</f>
        <v>0</v>
      </c>
      <c r="AM254" s="97">
        <f t="shared" si="446"/>
        <v>123.20166834662936</v>
      </c>
      <c r="AN254" s="9">
        <f t="shared" si="447"/>
        <v>27.680938133981105</v>
      </c>
      <c r="AO254" s="115">
        <f t="shared" si="448"/>
        <v>0.22467989683467968</v>
      </c>
      <c r="AP254" s="116">
        <f t="shared" si="449"/>
        <v>95.52073021264826</v>
      </c>
      <c r="AQ254" s="97">
        <f t="shared" ref="AQ254:AQ269" si="458">IF(AO254&lt;70%,MIN(AP254,(AK254+AL254/2)*$C254),AP254/AJ$252)</f>
        <v>4.5721508030860223</v>
      </c>
      <c r="AR254" s="9"/>
      <c r="AS254" s="9">
        <f>GFA!AR255</f>
        <v>136.89074260736595</v>
      </c>
      <c r="AT254" s="9">
        <f>GFA!AT255</f>
        <v>0</v>
      </c>
      <c r="AU254" s="97">
        <f t="shared" si="450"/>
        <v>123.20166834662936</v>
      </c>
      <c r="AV254" s="9">
        <f t="shared" si="451"/>
        <v>32.253088937067126</v>
      </c>
      <c r="AW254" s="115">
        <f t="shared" si="452"/>
        <v>0.26179100794579074</v>
      </c>
      <c r="AX254" s="116">
        <f t="shared" si="453"/>
        <v>90.948579409562228</v>
      </c>
      <c r="AY254" s="97">
        <f t="shared" ref="AY254:AY269" si="459">IF(AW254&lt;70%,MIN(AX254,(AS254+AT254/2)*$C254),AX254/AR$252)</f>
        <v>4.5721508030860223</v>
      </c>
    </row>
    <row r="255" spans="2:51" ht="31" x14ac:dyDescent="0.35">
      <c r="B255" s="84" t="s">
        <v>135</v>
      </c>
      <c r="C255" s="117">
        <v>5.28E-2</v>
      </c>
      <c r="D255" s="9"/>
      <c r="E255" s="9">
        <f>GFA!D256</f>
        <v>0</v>
      </c>
      <c r="F255" s="9">
        <f>GFA!F256</f>
        <v>0</v>
      </c>
      <c r="G255" s="97">
        <f t="shared" si="431"/>
        <v>0</v>
      </c>
      <c r="H255" s="9">
        <v>0</v>
      </c>
      <c r="I255" s="115">
        <f t="shared" si="432"/>
        <v>0</v>
      </c>
      <c r="J255" s="116">
        <f t="shared" si="433"/>
        <v>0</v>
      </c>
      <c r="K255" s="97">
        <f t="shared" si="454"/>
        <v>0</v>
      </c>
      <c r="L255" s="9"/>
      <c r="M255" s="9">
        <f>GFA!L256</f>
        <v>0</v>
      </c>
      <c r="N255" s="9">
        <f>GFA!N256</f>
        <v>0</v>
      </c>
      <c r="O255" s="97">
        <f t="shared" si="434"/>
        <v>0</v>
      </c>
      <c r="P255" s="9">
        <f t="shared" si="435"/>
        <v>0</v>
      </c>
      <c r="Q255" s="115">
        <f t="shared" si="436"/>
        <v>0</v>
      </c>
      <c r="R255" s="116">
        <f t="shared" si="437"/>
        <v>0</v>
      </c>
      <c r="S255" s="97">
        <f t="shared" si="455"/>
        <v>0</v>
      </c>
      <c r="T255" s="9"/>
      <c r="U255" s="9">
        <f>GFA!T256</f>
        <v>0</v>
      </c>
      <c r="V255" s="9">
        <f>GFA!V256</f>
        <v>0</v>
      </c>
      <c r="W255" s="97">
        <f t="shared" si="438"/>
        <v>0</v>
      </c>
      <c r="X255" s="9">
        <f t="shared" si="439"/>
        <v>0</v>
      </c>
      <c r="Y255" s="115">
        <f t="shared" si="440"/>
        <v>0</v>
      </c>
      <c r="Z255" s="116">
        <f t="shared" si="441"/>
        <v>0</v>
      </c>
      <c r="AA255" s="97">
        <f t="shared" si="456"/>
        <v>0</v>
      </c>
      <c r="AB255" s="9"/>
      <c r="AC255" s="9">
        <f>GFA!AB256</f>
        <v>0</v>
      </c>
      <c r="AD255" s="9">
        <f>GFA!AD256</f>
        <v>0</v>
      </c>
      <c r="AE255" s="97">
        <f t="shared" si="442"/>
        <v>0</v>
      </c>
      <c r="AF255" s="9">
        <f t="shared" si="443"/>
        <v>0</v>
      </c>
      <c r="AG255" s="115">
        <f t="shared" si="444"/>
        <v>0</v>
      </c>
      <c r="AH255" s="116">
        <f t="shared" si="445"/>
        <v>0</v>
      </c>
      <c r="AI255" s="97">
        <f t="shared" si="457"/>
        <v>0</v>
      </c>
      <c r="AJ255" s="9"/>
      <c r="AK255" s="9">
        <f>GFA!AJ256</f>
        <v>0</v>
      </c>
      <c r="AL255" s="9">
        <f>GFA!AL256</f>
        <v>0</v>
      </c>
      <c r="AM255" s="97">
        <f t="shared" si="446"/>
        <v>0</v>
      </c>
      <c r="AN255" s="9">
        <f t="shared" si="447"/>
        <v>0</v>
      </c>
      <c r="AO255" s="115">
        <f t="shared" si="448"/>
        <v>0</v>
      </c>
      <c r="AP255" s="116">
        <f t="shared" si="449"/>
        <v>0</v>
      </c>
      <c r="AQ255" s="97">
        <f t="shared" si="458"/>
        <v>0</v>
      </c>
      <c r="AR255" s="9"/>
      <c r="AS255" s="9">
        <f>GFA!AR256</f>
        <v>0</v>
      </c>
      <c r="AT255" s="9">
        <f>GFA!AT256</f>
        <v>0</v>
      </c>
      <c r="AU255" s="97">
        <f t="shared" si="450"/>
        <v>0</v>
      </c>
      <c r="AV255" s="9">
        <f t="shared" si="451"/>
        <v>0</v>
      </c>
      <c r="AW255" s="115">
        <f t="shared" si="452"/>
        <v>0</v>
      </c>
      <c r="AX255" s="116">
        <f t="shared" si="453"/>
        <v>0</v>
      </c>
      <c r="AY255" s="97">
        <f t="shared" si="459"/>
        <v>0</v>
      </c>
    </row>
    <row r="256" spans="2:51" x14ac:dyDescent="0.35">
      <c r="B256" s="7" t="s">
        <v>136</v>
      </c>
      <c r="C256" s="14">
        <v>5.28E-2</v>
      </c>
      <c r="D256" s="9"/>
      <c r="E256" s="9">
        <f>GFA!D257</f>
        <v>100.08917698981291</v>
      </c>
      <c r="F256" s="9">
        <f>GFA!F257</f>
        <v>2.8863507218285234</v>
      </c>
      <c r="G256" s="97">
        <f t="shared" si="431"/>
        <v>92.677974940477299</v>
      </c>
      <c r="H256" s="9">
        <v>12.495078012023592</v>
      </c>
      <c r="I256" s="115">
        <f t="shared" si="432"/>
        <v>0.13482251872733078</v>
      </c>
      <c r="J256" s="116">
        <f t="shared" si="433"/>
        <v>80.182896928453701</v>
      </c>
      <c r="K256" s="97">
        <f t="shared" si="454"/>
        <v>5.3609082041183953</v>
      </c>
      <c r="L256" s="9"/>
      <c r="M256" s="9">
        <f>GFA!L257</f>
        <v>102.97552771164143</v>
      </c>
      <c r="N256" s="9">
        <f>GFA!N257</f>
        <v>0.80495819798671597</v>
      </c>
      <c r="O256" s="97">
        <f t="shared" si="434"/>
        <v>93.402437318665335</v>
      </c>
      <c r="P256" s="9">
        <f t="shared" si="435"/>
        <v>17.855986216141986</v>
      </c>
      <c r="Q256" s="115">
        <f t="shared" si="436"/>
        <v>0.19117259387163429</v>
      </c>
      <c r="R256" s="116">
        <f t="shared" si="437"/>
        <v>75.546451102523349</v>
      </c>
      <c r="S256" s="97">
        <f t="shared" si="455"/>
        <v>5.4583587596015164</v>
      </c>
      <c r="T256" s="9"/>
      <c r="U256" s="9">
        <f>GFA!T257</f>
        <v>103.78048590962815</v>
      </c>
      <c r="V256" s="9">
        <f>GFA!V257</f>
        <v>0.58233859468120841</v>
      </c>
      <c r="W256" s="97">
        <f t="shared" si="438"/>
        <v>93.926542053878421</v>
      </c>
      <c r="X256" s="9">
        <f t="shared" si="439"/>
        <v>23.314344975743502</v>
      </c>
      <c r="Y256" s="115">
        <f t="shared" si="440"/>
        <v>0.24821892157351921</v>
      </c>
      <c r="Z256" s="116">
        <f t="shared" si="441"/>
        <v>70.612197078134926</v>
      </c>
      <c r="AA256" s="97">
        <f t="shared" si="456"/>
        <v>5.4949833949279503</v>
      </c>
      <c r="AB256" s="9"/>
      <c r="AC256" s="9">
        <f>GFA!AB257</f>
        <v>104.36282450430936</v>
      </c>
      <c r="AD256" s="9">
        <f>GFA!AD257</f>
        <v>0</v>
      </c>
      <c r="AE256" s="97">
        <f t="shared" si="442"/>
        <v>93.926542053878421</v>
      </c>
      <c r="AF256" s="9">
        <f t="shared" si="443"/>
        <v>28.809328370671452</v>
      </c>
      <c r="AG256" s="115">
        <f t="shared" si="444"/>
        <v>0.3067219099170686</v>
      </c>
      <c r="AH256" s="116">
        <f t="shared" si="445"/>
        <v>65.11721368320697</v>
      </c>
      <c r="AI256" s="97">
        <f t="shared" si="457"/>
        <v>5.5103571338275339</v>
      </c>
      <c r="AJ256" s="9"/>
      <c r="AK256" s="9">
        <f>GFA!AJ257</f>
        <v>104.36282450430936</v>
      </c>
      <c r="AL256" s="9">
        <f>GFA!AL257</f>
        <v>0</v>
      </c>
      <c r="AM256" s="97">
        <f t="shared" si="446"/>
        <v>93.926542053878421</v>
      </c>
      <c r="AN256" s="9">
        <f t="shared" si="447"/>
        <v>34.319685504498985</v>
      </c>
      <c r="AO256" s="115">
        <f t="shared" si="448"/>
        <v>0.36538857658373525</v>
      </c>
      <c r="AP256" s="116">
        <f t="shared" si="449"/>
        <v>59.606856549379437</v>
      </c>
      <c r="AQ256" s="97">
        <f t="shared" si="458"/>
        <v>5.5103571338275339</v>
      </c>
      <c r="AR256" s="9"/>
      <c r="AS256" s="9">
        <f>GFA!AR257</f>
        <v>104.36282450430936</v>
      </c>
      <c r="AT256" s="9">
        <f>GFA!AT257</f>
        <v>0</v>
      </c>
      <c r="AU256" s="97">
        <f t="shared" si="450"/>
        <v>93.926542053878421</v>
      </c>
      <c r="AV256" s="9">
        <f t="shared" si="451"/>
        <v>39.830042638326518</v>
      </c>
      <c r="AW256" s="115">
        <f t="shared" si="452"/>
        <v>0.42405524325040189</v>
      </c>
      <c r="AX256" s="116">
        <f t="shared" si="453"/>
        <v>54.096499415551904</v>
      </c>
      <c r="AY256" s="97">
        <f t="shared" si="459"/>
        <v>5.5103571338275339</v>
      </c>
    </row>
    <row r="257" spans="2:51" x14ac:dyDescent="0.35">
      <c r="B257" s="7" t="s">
        <v>137</v>
      </c>
      <c r="C257" s="14">
        <v>3.3399999999999999E-2</v>
      </c>
      <c r="D257" s="9"/>
      <c r="E257" s="9">
        <f>GFA!D258</f>
        <v>31.184593085665941</v>
      </c>
      <c r="F257" s="9">
        <f>GFA!F258</f>
        <v>0</v>
      </c>
      <c r="G257" s="97">
        <f t="shared" si="431"/>
        <v>28.066133777099349</v>
      </c>
      <c r="H257" s="9">
        <v>2.2883479214318965</v>
      </c>
      <c r="I257" s="115">
        <f t="shared" si="432"/>
        <v>8.1534134327367933E-2</v>
      </c>
      <c r="J257" s="116">
        <f t="shared" si="433"/>
        <v>25.777785855667453</v>
      </c>
      <c r="K257" s="97">
        <f t="shared" si="454"/>
        <v>1.0415654090612425</v>
      </c>
      <c r="L257" s="9"/>
      <c r="M257" s="9">
        <f>GFA!L258</f>
        <v>31.184593085665941</v>
      </c>
      <c r="N257" s="9">
        <f>GFA!N258</f>
        <v>0.13751112650810912</v>
      </c>
      <c r="O257" s="97">
        <f t="shared" si="434"/>
        <v>28.189893790956646</v>
      </c>
      <c r="P257" s="9">
        <f t="shared" si="435"/>
        <v>3.329913330493139</v>
      </c>
      <c r="Q257" s="115">
        <f t="shared" si="436"/>
        <v>0.11812436595846201</v>
      </c>
      <c r="R257" s="116">
        <f t="shared" si="437"/>
        <v>24.859980460463508</v>
      </c>
      <c r="S257" s="97">
        <f t="shared" si="455"/>
        <v>1.0438618448739279</v>
      </c>
      <c r="T257" s="9"/>
      <c r="U257" s="9">
        <f>GFA!T258</f>
        <v>31.32210421217405</v>
      </c>
      <c r="V257" s="9">
        <f>GFA!V258</f>
        <v>0</v>
      </c>
      <c r="W257" s="97">
        <f t="shared" si="438"/>
        <v>28.189893790956646</v>
      </c>
      <c r="X257" s="9">
        <f t="shared" si="439"/>
        <v>4.3737751753670668</v>
      </c>
      <c r="Y257" s="115">
        <f t="shared" si="440"/>
        <v>0.15515401398107359</v>
      </c>
      <c r="Z257" s="116">
        <f t="shared" si="441"/>
        <v>23.816118615589581</v>
      </c>
      <c r="AA257" s="97">
        <f t="shared" si="456"/>
        <v>1.0461582806866132</v>
      </c>
      <c r="AB257" s="9"/>
      <c r="AC257" s="9">
        <f>GFA!AB258</f>
        <v>31.32210421217405</v>
      </c>
      <c r="AD257" s="9">
        <f>GFA!AD258</f>
        <v>0</v>
      </c>
      <c r="AE257" s="97">
        <f t="shared" si="442"/>
        <v>28.189893790956646</v>
      </c>
      <c r="AF257" s="9">
        <f t="shared" si="443"/>
        <v>5.4199334560536805</v>
      </c>
      <c r="AG257" s="115">
        <f t="shared" si="444"/>
        <v>0.19226512509218471</v>
      </c>
      <c r="AH257" s="116">
        <f t="shared" si="445"/>
        <v>22.769960334902965</v>
      </c>
      <c r="AI257" s="97">
        <f t="shared" si="457"/>
        <v>1.0461582806866132</v>
      </c>
      <c r="AJ257" s="9"/>
      <c r="AK257" s="9">
        <f>GFA!AJ258</f>
        <v>31.32210421217405</v>
      </c>
      <c r="AL257" s="9">
        <f>GFA!AL258</f>
        <v>0</v>
      </c>
      <c r="AM257" s="97">
        <f t="shared" si="446"/>
        <v>28.189893790956646</v>
      </c>
      <c r="AN257" s="9">
        <f t="shared" si="447"/>
        <v>6.4660917367402941</v>
      </c>
      <c r="AO257" s="115">
        <f t="shared" si="448"/>
        <v>0.22937623620329584</v>
      </c>
      <c r="AP257" s="116">
        <f t="shared" si="449"/>
        <v>21.72380205421635</v>
      </c>
      <c r="AQ257" s="97">
        <f t="shared" si="458"/>
        <v>1.0461582806866132</v>
      </c>
      <c r="AR257" s="9"/>
      <c r="AS257" s="9">
        <f>GFA!AR258</f>
        <v>31.32210421217405</v>
      </c>
      <c r="AT257" s="9">
        <f>GFA!AT258</f>
        <v>0</v>
      </c>
      <c r="AU257" s="97">
        <f t="shared" si="450"/>
        <v>28.189893790956646</v>
      </c>
      <c r="AV257" s="9">
        <f t="shared" si="451"/>
        <v>7.5122500174269078</v>
      </c>
      <c r="AW257" s="115">
        <f t="shared" si="452"/>
        <v>0.26648734731440693</v>
      </c>
      <c r="AX257" s="116">
        <f t="shared" si="453"/>
        <v>20.677643773529738</v>
      </c>
      <c r="AY257" s="97">
        <f t="shared" si="459"/>
        <v>1.0461582806866132</v>
      </c>
    </row>
    <row r="258" spans="2:51" x14ac:dyDescent="0.35">
      <c r="B258" s="7" t="s">
        <v>138</v>
      </c>
      <c r="C258" s="14">
        <v>5.28E-2</v>
      </c>
      <c r="D258" s="9"/>
      <c r="E258" s="9">
        <f>GFA!D259</f>
        <v>1503.9238077914301</v>
      </c>
      <c r="F258" s="9">
        <f>GFA!F259</f>
        <v>3.0296069162860837</v>
      </c>
      <c r="G258" s="97">
        <f t="shared" si="431"/>
        <v>1356.2580732369447</v>
      </c>
      <c r="H258" s="9">
        <v>180.08827047989357</v>
      </c>
      <c r="I258" s="115">
        <f t="shared" si="432"/>
        <v>0.13278318782654819</v>
      </c>
      <c r="J258" s="116">
        <f t="shared" si="433"/>
        <v>1176.1698027570512</v>
      </c>
      <c r="K258" s="97">
        <f t="shared" si="454"/>
        <v>79.487158673977461</v>
      </c>
      <c r="L258" s="9"/>
      <c r="M258" s="9">
        <f>GFA!L259</f>
        <v>1506.9534147077163</v>
      </c>
      <c r="N258" s="9">
        <f>GFA!N259</f>
        <v>4.9893981438195905</v>
      </c>
      <c r="O258" s="97">
        <f t="shared" si="434"/>
        <v>1360.7485315663826</v>
      </c>
      <c r="P258" s="9">
        <f t="shared" si="435"/>
        <v>259.57542915387103</v>
      </c>
      <c r="Q258" s="115">
        <f t="shared" si="436"/>
        <v>0.19075929397114175</v>
      </c>
      <c r="R258" s="116">
        <f t="shared" si="437"/>
        <v>1101.1731024125115</v>
      </c>
      <c r="S258" s="97">
        <f t="shared" si="455"/>
        <v>79.698860407564254</v>
      </c>
      <c r="T258" s="9"/>
      <c r="U258" s="9">
        <f>GFA!T259</f>
        <v>1511.942812851536</v>
      </c>
      <c r="V258" s="9">
        <f>GFA!V259</f>
        <v>23.499630645226553</v>
      </c>
      <c r="W258" s="97">
        <f t="shared" si="438"/>
        <v>1381.8981991470862</v>
      </c>
      <c r="X258" s="9">
        <f t="shared" si="439"/>
        <v>339.2742895614353</v>
      </c>
      <c r="Y258" s="115">
        <f t="shared" si="440"/>
        <v>0.24551322939044057</v>
      </c>
      <c r="Z258" s="116">
        <f t="shared" si="441"/>
        <v>1042.6239095856508</v>
      </c>
      <c r="AA258" s="97">
        <f t="shared" si="456"/>
        <v>80.450970767595081</v>
      </c>
      <c r="AB258" s="9"/>
      <c r="AC258" s="9">
        <f>GFA!AB259</f>
        <v>1535.4424434967625</v>
      </c>
      <c r="AD258" s="9">
        <f>GFA!AD259</f>
        <v>103.65525509999999</v>
      </c>
      <c r="AE258" s="97">
        <f t="shared" si="442"/>
        <v>1475.1879287370862</v>
      </c>
      <c r="AF258" s="9">
        <f t="shared" si="443"/>
        <v>419.72526032903039</v>
      </c>
      <c r="AG258" s="115">
        <f t="shared" si="444"/>
        <v>0.28452324761656556</v>
      </c>
      <c r="AH258" s="116">
        <f t="shared" si="445"/>
        <v>1055.4626684080558</v>
      </c>
      <c r="AI258" s="97">
        <f t="shared" si="457"/>
        <v>83.807859751269064</v>
      </c>
      <c r="AJ258" s="9"/>
      <c r="AK258" s="9">
        <f>GFA!AJ259</f>
        <v>1639.0976985967625</v>
      </c>
      <c r="AL258" s="9">
        <f>GFA!AL259</f>
        <v>7.57</v>
      </c>
      <c r="AM258" s="97">
        <f t="shared" si="446"/>
        <v>1482.0009287370863</v>
      </c>
      <c r="AN258" s="9">
        <f t="shared" si="447"/>
        <v>503.53312008029945</v>
      </c>
      <c r="AO258" s="115">
        <f t="shared" si="448"/>
        <v>0.33976572505213898</v>
      </c>
      <c r="AP258" s="116">
        <f t="shared" si="449"/>
        <v>978.46780865678681</v>
      </c>
      <c r="AQ258" s="97">
        <f t="shared" si="458"/>
        <v>86.744206485909061</v>
      </c>
      <c r="AR258" s="9"/>
      <c r="AS258" s="9">
        <f>GFA!AR259</f>
        <v>1646.6676985967624</v>
      </c>
      <c r="AT258" s="9">
        <f>GFA!AT259</f>
        <v>89.240000000000009</v>
      </c>
      <c r="AU258" s="97">
        <f t="shared" si="450"/>
        <v>1562.3169287370863</v>
      </c>
      <c r="AV258" s="9">
        <f t="shared" si="451"/>
        <v>590.27732656620856</v>
      </c>
      <c r="AW258" s="115">
        <f t="shared" si="452"/>
        <v>0.37782175671831503</v>
      </c>
      <c r="AX258" s="116">
        <f t="shared" si="453"/>
        <v>972.03960217087774</v>
      </c>
      <c r="AY258" s="97">
        <f t="shared" si="459"/>
        <v>89.299990485909049</v>
      </c>
    </row>
    <row r="259" spans="2:51" x14ac:dyDescent="0.35">
      <c r="B259" s="7" t="s">
        <v>139</v>
      </c>
      <c r="C259" s="14">
        <v>0.18</v>
      </c>
      <c r="D259" s="9"/>
      <c r="E259" s="9">
        <f>GFA!D260</f>
        <v>0</v>
      </c>
      <c r="F259" s="9">
        <f>GFA!F260</f>
        <v>0</v>
      </c>
      <c r="G259" s="97">
        <f t="shared" si="431"/>
        <v>0</v>
      </c>
      <c r="H259" s="9">
        <v>0</v>
      </c>
      <c r="I259" s="115">
        <f t="shared" si="432"/>
        <v>0</v>
      </c>
      <c r="J259" s="116">
        <f t="shared" si="433"/>
        <v>0</v>
      </c>
      <c r="K259" s="97">
        <f t="shared" si="454"/>
        <v>0</v>
      </c>
      <c r="L259" s="9"/>
      <c r="M259" s="9">
        <f>GFA!L260</f>
        <v>0</v>
      </c>
      <c r="N259" s="9">
        <f>GFA!N260</f>
        <v>0</v>
      </c>
      <c r="O259" s="97">
        <f t="shared" si="434"/>
        <v>0</v>
      </c>
      <c r="P259" s="9">
        <f t="shared" si="435"/>
        <v>0</v>
      </c>
      <c r="Q259" s="115">
        <f t="shared" si="436"/>
        <v>0</v>
      </c>
      <c r="R259" s="116">
        <f t="shared" si="437"/>
        <v>0</v>
      </c>
      <c r="S259" s="97">
        <f t="shared" si="455"/>
        <v>0</v>
      </c>
      <c r="T259" s="9"/>
      <c r="U259" s="9">
        <f>GFA!T260</f>
        <v>0</v>
      </c>
      <c r="V259" s="9">
        <f>GFA!V260</f>
        <v>0</v>
      </c>
      <c r="W259" s="97">
        <f t="shared" si="438"/>
        <v>0</v>
      </c>
      <c r="X259" s="9">
        <f t="shared" si="439"/>
        <v>0</v>
      </c>
      <c r="Y259" s="115">
        <f t="shared" si="440"/>
        <v>0</v>
      </c>
      <c r="Z259" s="116">
        <f t="shared" si="441"/>
        <v>0</v>
      </c>
      <c r="AA259" s="97">
        <f t="shared" si="456"/>
        <v>0</v>
      </c>
      <c r="AB259" s="9"/>
      <c r="AC259" s="9">
        <f>GFA!AB260</f>
        <v>0</v>
      </c>
      <c r="AD259" s="9">
        <f>GFA!AD260</f>
        <v>0</v>
      </c>
      <c r="AE259" s="97">
        <f t="shared" si="442"/>
        <v>0</v>
      </c>
      <c r="AF259" s="9">
        <f t="shared" si="443"/>
        <v>0</v>
      </c>
      <c r="AG259" s="115">
        <f t="shared" si="444"/>
        <v>0</v>
      </c>
      <c r="AH259" s="116">
        <f t="shared" si="445"/>
        <v>0</v>
      </c>
      <c r="AI259" s="97">
        <f t="shared" si="457"/>
        <v>0</v>
      </c>
      <c r="AJ259" s="9"/>
      <c r="AK259" s="9">
        <f>GFA!AJ260</f>
        <v>0</v>
      </c>
      <c r="AL259" s="9">
        <f>GFA!AL260</f>
        <v>0</v>
      </c>
      <c r="AM259" s="97">
        <f t="shared" si="446"/>
        <v>0</v>
      </c>
      <c r="AN259" s="9">
        <f t="shared" si="447"/>
        <v>0</v>
      </c>
      <c r="AO259" s="115">
        <f t="shared" si="448"/>
        <v>0</v>
      </c>
      <c r="AP259" s="116">
        <f t="shared" si="449"/>
        <v>0</v>
      </c>
      <c r="AQ259" s="97">
        <f t="shared" si="458"/>
        <v>0</v>
      </c>
      <c r="AR259" s="9"/>
      <c r="AS259" s="9">
        <f>GFA!AR260</f>
        <v>0</v>
      </c>
      <c r="AT259" s="9">
        <f>GFA!AT260</f>
        <v>0</v>
      </c>
      <c r="AU259" s="97">
        <f t="shared" si="450"/>
        <v>0</v>
      </c>
      <c r="AV259" s="9">
        <f t="shared" si="451"/>
        <v>0</v>
      </c>
      <c r="AW259" s="115">
        <f t="shared" si="452"/>
        <v>0</v>
      </c>
      <c r="AX259" s="116">
        <f t="shared" si="453"/>
        <v>0</v>
      </c>
      <c r="AY259" s="97">
        <f t="shared" si="459"/>
        <v>0</v>
      </c>
    </row>
    <row r="260" spans="2:51" x14ac:dyDescent="0.35">
      <c r="B260" s="7" t="s">
        <v>140</v>
      </c>
      <c r="C260" s="14">
        <v>5.28E-2</v>
      </c>
      <c r="D260" s="9"/>
      <c r="E260" s="9">
        <f>GFA!D261</f>
        <v>0</v>
      </c>
      <c r="F260" s="9">
        <f>GFA!F261</f>
        <v>0</v>
      </c>
      <c r="G260" s="97">
        <f t="shared" si="431"/>
        <v>0</v>
      </c>
      <c r="H260" s="9">
        <v>0</v>
      </c>
      <c r="I260" s="115">
        <f t="shared" si="432"/>
        <v>0</v>
      </c>
      <c r="J260" s="116">
        <f t="shared" si="433"/>
        <v>0</v>
      </c>
      <c r="K260" s="97">
        <f t="shared" si="454"/>
        <v>0</v>
      </c>
      <c r="L260" s="9"/>
      <c r="M260" s="9">
        <f>GFA!L261</f>
        <v>0</v>
      </c>
      <c r="N260" s="9">
        <f>GFA!N261</f>
        <v>0</v>
      </c>
      <c r="O260" s="97">
        <f t="shared" si="434"/>
        <v>0</v>
      </c>
      <c r="P260" s="9">
        <f t="shared" si="435"/>
        <v>0</v>
      </c>
      <c r="Q260" s="115">
        <f t="shared" si="436"/>
        <v>0</v>
      </c>
      <c r="R260" s="116">
        <f t="shared" si="437"/>
        <v>0</v>
      </c>
      <c r="S260" s="97">
        <f t="shared" si="455"/>
        <v>0</v>
      </c>
      <c r="T260" s="9"/>
      <c r="U260" s="9">
        <f>GFA!T261</f>
        <v>0</v>
      </c>
      <c r="V260" s="9">
        <f>GFA!V261</f>
        <v>0</v>
      </c>
      <c r="W260" s="97">
        <f t="shared" si="438"/>
        <v>0</v>
      </c>
      <c r="X260" s="9">
        <f t="shared" si="439"/>
        <v>0</v>
      </c>
      <c r="Y260" s="115">
        <f t="shared" si="440"/>
        <v>0</v>
      </c>
      <c r="Z260" s="116">
        <f t="shared" si="441"/>
        <v>0</v>
      </c>
      <c r="AA260" s="97">
        <f t="shared" si="456"/>
        <v>0</v>
      </c>
      <c r="AB260" s="9"/>
      <c r="AC260" s="9">
        <f>GFA!AB261</f>
        <v>0</v>
      </c>
      <c r="AD260" s="9">
        <f>GFA!AD261</f>
        <v>0</v>
      </c>
      <c r="AE260" s="97">
        <f t="shared" si="442"/>
        <v>0</v>
      </c>
      <c r="AF260" s="9">
        <f t="shared" si="443"/>
        <v>0</v>
      </c>
      <c r="AG260" s="115">
        <f t="shared" si="444"/>
        <v>0</v>
      </c>
      <c r="AH260" s="116">
        <f t="shared" si="445"/>
        <v>0</v>
      </c>
      <c r="AI260" s="97">
        <f t="shared" si="457"/>
        <v>0</v>
      </c>
      <c r="AJ260" s="9"/>
      <c r="AK260" s="9">
        <f>GFA!AJ261</f>
        <v>0</v>
      </c>
      <c r="AL260" s="9">
        <f>GFA!AL261</f>
        <v>0</v>
      </c>
      <c r="AM260" s="97">
        <f t="shared" si="446"/>
        <v>0</v>
      </c>
      <c r="AN260" s="9">
        <f t="shared" si="447"/>
        <v>0</v>
      </c>
      <c r="AO260" s="115">
        <f t="shared" si="448"/>
        <v>0</v>
      </c>
      <c r="AP260" s="116">
        <f t="shared" si="449"/>
        <v>0</v>
      </c>
      <c r="AQ260" s="97">
        <f t="shared" si="458"/>
        <v>0</v>
      </c>
      <c r="AR260" s="9"/>
      <c r="AS260" s="9">
        <f>GFA!AR261</f>
        <v>0</v>
      </c>
      <c r="AT260" s="9">
        <f>GFA!AT261</f>
        <v>0</v>
      </c>
      <c r="AU260" s="97">
        <f t="shared" si="450"/>
        <v>0</v>
      </c>
      <c r="AV260" s="9">
        <f t="shared" si="451"/>
        <v>0</v>
      </c>
      <c r="AW260" s="115">
        <f t="shared" si="452"/>
        <v>0</v>
      </c>
      <c r="AX260" s="116">
        <f t="shared" si="453"/>
        <v>0</v>
      </c>
      <c r="AY260" s="97">
        <f t="shared" si="459"/>
        <v>0</v>
      </c>
    </row>
    <row r="261" spans="2:51" x14ac:dyDescent="0.35">
      <c r="B261" s="7" t="s">
        <v>141</v>
      </c>
      <c r="C261" s="14">
        <v>5.28E-2</v>
      </c>
      <c r="D261" s="9"/>
      <c r="E261" s="9">
        <f>GFA!D262</f>
        <v>38.699635724657121</v>
      </c>
      <c r="F261" s="9">
        <f>GFA!F262</f>
        <v>2.9092449275077953E-2</v>
      </c>
      <c r="G261" s="97">
        <f t="shared" si="431"/>
        <v>34.855855356538981</v>
      </c>
      <c r="H261" s="9">
        <v>4.8312413185863452</v>
      </c>
      <c r="I261" s="115">
        <f t="shared" si="432"/>
        <v>0.13860630500005794</v>
      </c>
      <c r="J261" s="116">
        <f t="shared" si="433"/>
        <v>30.024614037952638</v>
      </c>
      <c r="K261" s="97">
        <f t="shared" si="454"/>
        <v>2.044108806922758</v>
      </c>
      <c r="L261" s="9"/>
      <c r="M261" s="9">
        <f>GFA!L262</f>
        <v>38.728728173932197</v>
      </c>
      <c r="N261" s="9">
        <f>GFA!N262</f>
        <v>0</v>
      </c>
      <c r="O261" s="97">
        <f t="shared" si="434"/>
        <v>34.855855356538981</v>
      </c>
      <c r="P261" s="9">
        <f t="shared" si="435"/>
        <v>6.8753501255091027</v>
      </c>
      <c r="Q261" s="115">
        <f t="shared" si="436"/>
        <v>0.19725093689945217</v>
      </c>
      <c r="R261" s="116">
        <f t="shared" si="437"/>
        <v>27.980505231029881</v>
      </c>
      <c r="S261" s="97">
        <f t="shared" si="455"/>
        <v>2.0448768475836201</v>
      </c>
      <c r="T261" s="9"/>
      <c r="U261" s="9">
        <f>GFA!T262</f>
        <v>38.728728173932197</v>
      </c>
      <c r="V261" s="9">
        <f>GFA!V262</f>
        <v>0</v>
      </c>
      <c r="W261" s="97">
        <f t="shared" si="438"/>
        <v>34.855855356538981</v>
      </c>
      <c r="X261" s="9">
        <f t="shared" si="439"/>
        <v>8.9202269730927224</v>
      </c>
      <c r="Y261" s="115">
        <f t="shared" si="440"/>
        <v>0.25591760356611881</v>
      </c>
      <c r="Z261" s="116">
        <f t="shared" si="441"/>
        <v>25.935628383446257</v>
      </c>
      <c r="AA261" s="97">
        <f t="shared" si="456"/>
        <v>2.0448768475836201</v>
      </c>
      <c r="AB261" s="9"/>
      <c r="AC261" s="9">
        <f>GFA!AB262</f>
        <v>38.728728173932197</v>
      </c>
      <c r="AD261" s="9">
        <f>GFA!AD262</f>
        <v>0</v>
      </c>
      <c r="AE261" s="97">
        <f t="shared" si="442"/>
        <v>34.855855356538981</v>
      </c>
      <c r="AF261" s="9">
        <f t="shared" si="443"/>
        <v>10.965103820676342</v>
      </c>
      <c r="AG261" s="115">
        <f t="shared" si="444"/>
        <v>0.31458427023278546</v>
      </c>
      <c r="AH261" s="116">
        <f t="shared" si="445"/>
        <v>23.890751535862641</v>
      </c>
      <c r="AI261" s="97">
        <f t="shared" si="457"/>
        <v>2.0448768475836201</v>
      </c>
      <c r="AJ261" s="9"/>
      <c r="AK261" s="9">
        <f>GFA!AJ262</f>
        <v>38.728728173932197</v>
      </c>
      <c r="AL261" s="9">
        <f>GFA!AL262</f>
        <v>0</v>
      </c>
      <c r="AM261" s="97">
        <f t="shared" si="446"/>
        <v>34.855855356538981</v>
      </c>
      <c r="AN261" s="9">
        <f t="shared" si="447"/>
        <v>13.009980668259962</v>
      </c>
      <c r="AO261" s="115">
        <f t="shared" si="448"/>
        <v>0.3732509368994521</v>
      </c>
      <c r="AP261" s="116">
        <f t="shared" si="449"/>
        <v>21.845874688279018</v>
      </c>
      <c r="AQ261" s="97">
        <f t="shared" si="458"/>
        <v>2.0448768475836201</v>
      </c>
      <c r="AR261" s="9"/>
      <c r="AS261" s="9">
        <f>GFA!AR262</f>
        <v>38.728728173932197</v>
      </c>
      <c r="AT261" s="9">
        <f>GFA!AT262</f>
        <v>0</v>
      </c>
      <c r="AU261" s="97">
        <f t="shared" si="450"/>
        <v>34.855855356538981</v>
      </c>
      <c r="AV261" s="9">
        <f t="shared" si="451"/>
        <v>15.054857515843581</v>
      </c>
      <c r="AW261" s="115">
        <f t="shared" si="452"/>
        <v>0.43191760356611875</v>
      </c>
      <c r="AX261" s="116">
        <f t="shared" si="453"/>
        <v>19.800997840695402</v>
      </c>
      <c r="AY261" s="97">
        <f t="shared" si="459"/>
        <v>2.0448768475836201</v>
      </c>
    </row>
    <row r="262" spans="2:51" x14ac:dyDescent="0.35">
      <c r="B262" s="7" t="s">
        <v>142</v>
      </c>
      <c r="C262" s="14">
        <v>9.5000000000000001E-2</v>
      </c>
      <c r="D262" s="9"/>
      <c r="E262" s="9">
        <f>GFA!D263</f>
        <v>0</v>
      </c>
      <c r="F262" s="9">
        <f>GFA!F263</f>
        <v>0</v>
      </c>
      <c r="G262" s="97">
        <f t="shared" si="431"/>
        <v>0</v>
      </c>
      <c r="H262" s="9">
        <v>0</v>
      </c>
      <c r="I262" s="115">
        <f t="shared" si="432"/>
        <v>0</v>
      </c>
      <c r="J262" s="116">
        <f t="shared" si="433"/>
        <v>0</v>
      </c>
      <c r="K262" s="97">
        <f t="shared" si="454"/>
        <v>0</v>
      </c>
      <c r="L262" s="9"/>
      <c r="M262" s="9">
        <f>GFA!L263</f>
        <v>0</v>
      </c>
      <c r="N262" s="9">
        <f>GFA!N263</f>
        <v>0</v>
      </c>
      <c r="O262" s="97">
        <f t="shared" si="434"/>
        <v>0</v>
      </c>
      <c r="P262" s="9">
        <f t="shared" si="435"/>
        <v>0</v>
      </c>
      <c r="Q262" s="115">
        <f t="shared" si="436"/>
        <v>0</v>
      </c>
      <c r="R262" s="116">
        <f t="shared" si="437"/>
        <v>0</v>
      </c>
      <c r="S262" s="97">
        <f t="shared" si="455"/>
        <v>0</v>
      </c>
      <c r="T262" s="9"/>
      <c r="U262" s="9">
        <f>GFA!T263</f>
        <v>0</v>
      </c>
      <c r="V262" s="9">
        <f>GFA!V263</f>
        <v>0</v>
      </c>
      <c r="W262" s="97">
        <f t="shared" si="438"/>
        <v>0</v>
      </c>
      <c r="X262" s="9">
        <f t="shared" si="439"/>
        <v>0</v>
      </c>
      <c r="Y262" s="115">
        <f t="shared" si="440"/>
        <v>0</v>
      </c>
      <c r="Z262" s="116">
        <f t="shared" si="441"/>
        <v>0</v>
      </c>
      <c r="AA262" s="97">
        <f t="shared" si="456"/>
        <v>0</v>
      </c>
      <c r="AB262" s="9"/>
      <c r="AC262" s="9">
        <f>GFA!AB263</f>
        <v>0</v>
      </c>
      <c r="AD262" s="9">
        <f>GFA!AD263</f>
        <v>0</v>
      </c>
      <c r="AE262" s="97">
        <f t="shared" si="442"/>
        <v>0</v>
      </c>
      <c r="AF262" s="9">
        <f t="shared" si="443"/>
        <v>0</v>
      </c>
      <c r="AG262" s="115">
        <f t="shared" si="444"/>
        <v>0</v>
      </c>
      <c r="AH262" s="116">
        <f t="shared" si="445"/>
        <v>0</v>
      </c>
      <c r="AI262" s="97">
        <f t="shared" si="457"/>
        <v>0</v>
      </c>
      <c r="AJ262" s="9"/>
      <c r="AK262" s="9">
        <f>GFA!AJ263</f>
        <v>0</v>
      </c>
      <c r="AL262" s="9">
        <f>GFA!AL263</f>
        <v>0</v>
      </c>
      <c r="AM262" s="97">
        <f t="shared" si="446"/>
        <v>0</v>
      </c>
      <c r="AN262" s="9">
        <f t="shared" si="447"/>
        <v>0</v>
      </c>
      <c r="AO262" s="115">
        <f t="shared" si="448"/>
        <v>0</v>
      </c>
      <c r="AP262" s="116">
        <f t="shared" si="449"/>
        <v>0</v>
      </c>
      <c r="AQ262" s="97">
        <f t="shared" si="458"/>
        <v>0</v>
      </c>
      <c r="AR262" s="9"/>
      <c r="AS262" s="9">
        <f>GFA!AR263</f>
        <v>0</v>
      </c>
      <c r="AT262" s="9">
        <f>GFA!AT263</f>
        <v>0</v>
      </c>
      <c r="AU262" s="97">
        <f t="shared" si="450"/>
        <v>0</v>
      </c>
      <c r="AV262" s="9">
        <f t="shared" si="451"/>
        <v>0</v>
      </c>
      <c r="AW262" s="115">
        <f t="shared" si="452"/>
        <v>0</v>
      </c>
      <c r="AX262" s="116">
        <f t="shared" si="453"/>
        <v>0</v>
      </c>
      <c r="AY262" s="97">
        <f t="shared" si="459"/>
        <v>0</v>
      </c>
    </row>
    <row r="263" spans="2:51" x14ac:dyDescent="0.35">
      <c r="B263" s="7" t="s">
        <v>143</v>
      </c>
      <c r="C263" s="14">
        <v>6.3299999999999995E-2</v>
      </c>
      <c r="D263" s="9"/>
      <c r="E263" s="9">
        <f>GFA!D264</f>
        <v>0.36072033622770094</v>
      </c>
      <c r="F263" s="9">
        <f>GFA!F264</f>
        <v>9.5220544131385913E-3</v>
      </c>
      <c r="G263" s="97">
        <f t="shared" si="431"/>
        <v>0.33321815157675561</v>
      </c>
      <c r="H263" s="9">
        <v>5.3987382069625264E-2</v>
      </c>
      <c r="I263" s="115">
        <f t="shared" si="432"/>
        <v>0.16201813080758737</v>
      </c>
      <c r="J263" s="116">
        <f t="shared" si="433"/>
        <v>0.27923076950713033</v>
      </c>
      <c r="K263" s="97">
        <f t="shared" si="454"/>
        <v>2.3134970305389305E-2</v>
      </c>
      <c r="L263" s="9"/>
      <c r="M263" s="9">
        <f>GFA!L264</f>
        <v>0.37024239064083952</v>
      </c>
      <c r="N263" s="9">
        <f>GFA!N264</f>
        <v>0.21891942071413789</v>
      </c>
      <c r="O263" s="97">
        <f t="shared" si="434"/>
        <v>0.53024563021947979</v>
      </c>
      <c r="P263" s="9">
        <f t="shared" si="435"/>
        <v>7.7122352375014566E-2</v>
      </c>
      <c r="Q263" s="115">
        <f t="shared" si="436"/>
        <v>0.14544646476971815</v>
      </c>
      <c r="R263" s="116">
        <f t="shared" si="437"/>
        <v>0.45312327784446521</v>
      </c>
      <c r="S263" s="97">
        <f t="shared" si="455"/>
        <v>3.0365142993167601E-2</v>
      </c>
      <c r="T263" s="9"/>
      <c r="U263" s="9">
        <f>GFA!T264</f>
        <v>0.58916181135497747</v>
      </c>
      <c r="V263" s="9">
        <f>GFA!V264</f>
        <v>5.4489712889727714E-3</v>
      </c>
      <c r="W263" s="97">
        <f t="shared" si="438"/>
        <v>0.53514970437955522</v>
      </c>
      <c r="X263" s="9">
        <f t="shared" si="439"/>
        <v>0.10748749536818217</v>
      </c>
      <c r="Y263" s="115">
        <f t="shared" si="440"/>
        <v>0.20085500279366053</v>
      </c>
      <c r="Z263" s="116">
        <f t="shared" si="441"/>
        <v>0.42766220901137308</v>
      </c>
      <c r="AA263" s="97">
        <f t="shared" si="456"/>
        <v>3.7466402600066055E-2</v>
      </c>
      <c r="AB263" s="9"/>
      <c r="AC263" s="9">
        <f>GFA!AB264</f>
        <v>0.59461078264395029</v>
      </c>
      <c r="AD263" s="9">
        <f>GFA!AD264</f>
        <v>0</v>
      </c>
      <c r="AE263" s="97">
        <f t="shared" si="442"/>
        <v>0.53514970437955522</v>
      </c>
      <c r="AF263" s="9">
        <f t="shared" si="443"/>
        <v>0.14495389796824823</v>
      </c>
      <c r="AG263" s="115">
        <f t="shared" si="444"/>
        <v>0.27086607127309481</v>
      </c>
      <c r="AH263" s="116">
        <f t="shared" si="445"/>
        <v>0.39019580641130702</v>
      </c>
      <c r="AI263" s="97">
        <f t="shared" si="457"/>
        <v>3.7638862541362048E-2</v>
      </c>
      <c r="AJ263" s="9"/>
      <c r="AK263" s="9">
        <f>GFA!AJ264</f>
        <v>0.59461078264395029</v>
      </c>
      <c r="AL263" s="9">
        <f>GFA!AL264</f>
        <v>0</v>
      </c>
      <c r="AM263" s="97">
        <f t="shared" si="446"/>
        <v>0.53514970437955522</v>
      </c>
      <c r="AN263" s="9">
        <f t="shared" si="447"/>
        <v>0.18259276050961026</v>
      </c>
      <c r="AO263" s="115">
        <f t="shared" si="448"/>
        <v>0.34119940460642811</v>
      </c>
      <c r="AP263" s="116">
        <f t="shared" si="449"/>
        <v>0.35255694386994496</v>
      </c>
      <c r="AQ263" s="97">
        <f t="shared" si="458"/>
        <v>3.7638862541362048E-2</v>
      </c>
      <c r="AR263" s="9"/>
      <c r="AS263" s="9">
        <f>GFA!AR264</f>
        <v>0.59461078264395029</v>
      </c>
      <c r="AT263" s="9">
        <f>GFA!AT264</f>
        <v>0</v>
      </c>
      <c r="AU263" s="97">
        <f t="shared" si="450"/>
        <v>0.53514970437955522</v>
      </c>
      <c r="AV263" s="9">
        <f t="shared" si="451"/>
        <v>0.22023162305097232</v>
      </c>
      <c r="AW263" s="115">
        <f t="shared" si="452"/>
        <v>0.41153273793976147</v>
      </c>
      <c r="AX263" s="116">
        <f t="shared" si="453"/>
        <v>0.3149180813285829</v>
      </c>
      <c r="AY263" s="97">
        <f t="shared" si="459"/>
        <v>3.7638862541362048E-2</v>
      </c>
    </row>
    <row r="264" spans="2:51" x14ac:dyDescent="0.35">
      <c r="B264" s="7" t="s">
        <v>144</v>
      </c>
      <c r="C264" s="14">
        <v>6.3299999999999995E-2</v>
      </c>
      <c r="D264" s="9"/>
      <c r="E264" s="9">
        <f>GFA!D265</f>
        <v>0</v>
      </c>
      <c r="F264" s="9">
        <f>GFA!F265</f>
        <v>0</v>
      </c>
      <c r="G264" s="97">
        <f t="shared" si="431"/>
        <v>0</v>
      </c>
      <c r="H264" s="9">
        <v>0</v>
      </c>
      <c r="I264" s="115">
        <f t="shared" si="432"/>
        <v>0</v>
      </c>
      <c r="J264" s="116">
        <f t="shared" si="433"/>
        <v>0</v>
      </c>
      <c r="K264" s="97">
        <f t="shared" si="454"/>
        <v>0</v>
      </c>
      <c r="L264" s="9"/>
      <c r="M264" s="9">
        <f>GFA!L265</f>
        <v>0</v>
      </c>
      <c r="N264" s="9">
        <f>GFA!N265</f>
        <v>0</v>
      </c>
      <c r="O264" s="97">
        <f t="shared" si="434"/>
        <v>0</v>
      </c>
      <c r="P264" s="9">
        <f t="shared" si="435"/>
        <v>0</v>
      </c>
      <c r="Q264" s="115">
        <f t="shared" si="436"/>
        <v>0</v>
      </c>
      <c r="R264" s="116">
        <f t="shared" si="437"/>
        <v>0</v>
      </c>
      <c r="S264" s="97">
        <f t="shared" si="455"/>
        <v>0</v>
      </c>
      <c r="T264" s="9"/>
      <c r="U264" s="9">
        <f>GFA!T265</f>
        <v>0</v>
      </c>
      <c r="V264" s="9">
        <f>GFA!V265</f>
        <v>0</v>
      </c>
      <c r="W264" s="97">
        <f t="shared" si="438"/>
        <v>0</v>
      </c>
      <c r="X264" s="9">
        <f t="shared" si="439"/>
        <v>0</v>
      </c>
      <c r="Y264" s="115">
        <f t="shared" si="440"/>
        <v>0</v>
      </c>
      <c r="Z264" s="116">
        <f t="shared" si="441"/>
        <v>0</v>
      </c>
      <c r="AA264" s="97">
        <f t="shared" si="456"/>
        <v>0</v>
      </c>
      <c r="AB264" s="9"/>
      <c r="AC264" s="9">
        <f>GFA!AB265</f>
        <v>0</v>
      </c>
      <c r="AD264" s="9">
        <f>GFA!AD265</f>
        <v>0</v>
      </c>
      <c r="AE264" s="97">
        <f t="shared" si="442"/>
        <v>0</v>
      </c>
      <c r="AF264" s="9">
        <f t="shared" si="443"/>
        <v>0</v>
      </c>
      <c r="AG264" s="115">
        <f t="shared" si="444"/>
        <v>0</v>
      </c>
      <c r="AH264" s="116">
        <f t="shared" si="445"/>
        <v>0</v>
      </c>
      <c r="AI264" s="97">
        <f t="shared" si="457"/>
        <v>0</v>
      </c>
      <c r="AJ264" s="9"/>
      <c r="AK264" s="9">
        <f>GFA!AJ265</f>
        <v>0</v>
      </c>
      <c r="AL264" s="9">
        <f>GFA!AL265</f>
        <v>0</v>
      </c>
      <c r="AM264" s="97">
        <f t="shared" si="446"/>
        <v>0</v>
      </c>
      <c r="AN264" s="9">
        <f t="shared" si="447"/>
        <v>0</v>
      </c>
      <c r="AO264" s="115">
        <f t="shared" si="448"/>
        <v>0</v>
      </c>
      <c r="AP264" s="116">
        <f t="shared" si="449"/>
        <v>0</v>
      </c>
      <c r="AQ264" s="97">
        <f t="shared" si="458"/>
        <v>0</v>
      </c>
      <c r="AR264" s="9"/>
      <c r="AS264" s="9">
        <f>GFA!AR265</f>
        <v>0</v>
      </c>
      <c r="AT264" s="9">
        <f>GFA!AT265</f>
        <v>0</v>
      </c>
      <c r="AU264" s="97">
        <f t="shared" si="450"/>
        <v>0</v>
      </c>
      <c r="AV264" s="9">
        <f t="shared" si="451"/>
        <v>0</v>
      </c>
      <c r="AW264" s="115">
        <f t="shared" si="452"/>
        <v>0</v>
      </c>
      <c r="AX264" s="116">
        <f t="shared" si="453"/>
        <v>0</v>
      </c>
      <c r="AY264" s="97">
        <f t="shared" si="459"/>
        <v>0</v>
      </c>
    </row>
    <row r="265" spans="2:51" x14ac:dyDescent="0.35">
      <c r="B265" s="7" t="s">
        <v>145</v>
      </c>
      <c r="C265" s="14">
        <v>6.3299999999999995E-2</v>
      </c>
      <c r="D265" s="9"/>
      <c r="E265" s="9">
        <f>GFA!D266</f>
        <v>0</v>
      </c>
      <c r="F265" s="9">
        <f>GFA!F266</f>
        <v>0</v>
      </c>
      <c r="G265" s="97">
        <f t="shared" si="431"/>
        <v>0</v>
      </c>
      <c r="H265" s="9">
        <v>0</v>
      </c>
      <c r="I265" s="115">
        <f t="shared" si="432"/>
        <v>0</v>
      </c>
      <c r="J265" s="116">
        <f t="shared" si="433"/>
        <v>0</v>
      </c>
      <c r="K265" s="97">
        <f t="shared" si="454"/>
        <v>0</v>
      </c>
      <c r="L265" s="9"/>
      <c r="M265" s="9">
        <f>GFA!L266</f>
        <v>0</v>
      </c>
      <c r="N265" s="9">
        <f>GFA!N266</f>
        <v>0</v>
      </c>
      <c r="O265" s="97">
        <f t="shared" si="434"/>
        <v>0</v>
      </c>
      <c r="P265" s="9">
        <f t="shared" si="435"/>
        <v>0</v>
      </c>
      <c r="Q265" s="115">
        <f t="shared" si="436"/>
        <v>0</v>
      </c>
      <c r="R265" s="116">
        <f t="shared" si="437"/>
        <v>0</v>
      </c>
      <c r="S265" s="97">
        <f t="shared" si="455"/>
        <v>0</v>
      </c>
      <c r="T265" s="9"/>
      <c r="U265" s="9">
        <f>GFA!T266</f>
        <v>0</v>
      </c>
      <c r="V265" s="9">
        <f>GFA!V266</f>
        <v>0</v>
      </c>
      <c r="W265" s="97">
        <f t="shared" si="438"/>
        <v>0</v>
      </c>
      <c r="X265" s="9">
        <f t="shared" si="439"/>
        <v>0</v>
      </c>
      <c r="Y265" s="115">
        <f t="shared" si="440"/>
        <v>0</v>
      </c>
      <c r="Z265" s="116">
        <f t="shared" si="441"/>
        <v>0</v>
      </c>
      <c r="AA265" s="97">
        <f t="shared" si="456"/>
        <v>0</v>
      </c>
      <c r="AB265" s="9"/>
      <c r="AC265" s="9">
        <f>GFA!AB266</f>
        <v>0</v>
      </c>
      <c r="AD265" s="9">
        <f>GFA!AD266</f>
        <v>0</v>
      </c>
      <c r="AE265" s="97">
        <f t="shared" si="442"/>
        <v>0</v>
      </c>
      <c r="AF265" s="9">
        <f t="shared" si="443"/>
        <v>0</v>
      </c>
      <c r="AG265" s="115">
        <f t="shared" si="444"/>
        <v>0</v>
      </c>
      <c r="AH265" s="116">
        <f t="shared" si="445"/>
        <v>0</v>
      </c>
      <c r="AI265" s="97">
        <f t="shared" si="457"/>
        <v>0</v>
      </c>
      <c r="AJ265" s="9"/>
      <c r="AK265" s="9">
        <f>GFA!AJ266</f>
        <v>0</v>
      </c>
      <c r="AL265" s="9">
        <f>GFA!AL266</f>
        <v>0</v>
      </c>
      <c r="AM265" s="97">
        <f t="shared" si="446"/>
        <v>0</v>
      </c>
      <c r="AN265" s="9">
        <f t="shared" si="447"/>
        <v>0</v>
      </c>
      <c r="AO265" s="115">
        <f t="shared" si="448"/>
        <v>0</v>
      </c>
      <c r="AP265" s="116">
        <f t="shared" si="449"/>
        <v>0</v>
      </c>
      <c r="AQ265" s="97">
        <f t="shared" si="458"/>
        <v>0</v>
      </c>
      <c r="AR265" s="9"/>
      <c r="AS265" s="9">
        <f>GFA!AR266</f>
        <v>0</v>
      </c>
      <c r="AT265" s="9">
        <f>GFA!AT266</f>
        <v>0</v>
      </c>
      <c r="AU265" s="97">
        <f t="shared" si="450"/>
        <v>0</v>
      </c>
      <c r="AV265" s="9">
        <f t="shared" si="451"/>
        <v>0</v>
      </c>
      <c r="AW265" s="115">
        <f t="shared" si="452"/>
        <v>0</v>
      </c>
      <c r="AX265" s="116">
        <f t="shared" si="453"/>
        <v>0</v>
      </c>
      <c r="AY265" s="97">
        <f t="shared" si="459"/>
        <v>0</v>
      </c>
    </row>
    <row r="266" spans="2:51" x14ac:dyDescent="0.35">
      <c r="B266" s="7" t="s">
        <v>146</v>
      </c>
      <c r="C266" s="14">
        <v>0.15</v>
      </c>
      <c r="D266" s="9"/>
      <c r="E266" s="9">
        <f>GFA!D267</f>
        <v>0</v>
      </c>
      <c r="F266" s="9">
        <f>GFA!F267</f>
        <v>0</v>
      </c>
      <c r="G266" s="97">
        <f t="shared" si="431"/>
        <v>0</v>
      </c>
      <c r="H266" s="9">
        <v>0</v>
      </c>
      <c r="I266" s="115">
        <f t="shared" si="432"/>
        <v>0</v>
      </c>
      <c r="J266" s="116">
        <f t="shared" si="433"/>
        <v>0</v>
      </c>
      <c r="K266" s="97">
        <f t="shared" si="454"/>
        <v>0</v>
      </c>
      <c r="L266" s="9"/>
      <c r="M266" s="9">
        <f>GFA!L267</f>
        <v>0</v>
      </c>
      <c r="N266" s="9">
        <f>GFA!N267</f>
        <v>0</v>
      </c>
      <c r="O266" s="97">
        <f t="shared" si="434"/>
        <v>0</v>
      </c>
      <c r="P266" s="9">
        <f t="shared" si="435"/>
        <v>0</v>
      </c>
      <c r="Q266" s="115">
        <f t="shared" si="436"/>
        <v>0</v>
      </c>
      <c r="R266" s="116">
        <f t="shared" si="437"/>
        <v>0</v>
      </c>
      <c r="S266" s="97">
        <f t="shared" si="455"/>
        <v>0</v>
      </c>
      <c r="T266" s="9"/>
      <c r="U266" s="9">
        <f>GFA!T267</f>
        <v>0</v>
      </c>
      <c r="V266" s="9">
        <f>GFA!V267</f>
        <v>0</v>
      </c>
      <c r="W266" s="97">
        <f t="shared" si="438"/>
        <v>0</v>
      </c>
      <c r="X266" s="9">
        <f t="shared" si="439"/>
        <v>0</v>
      </c>
      <c r="Y266" s="115">
        <f t="shared" si="440"/>
        <v>0</v>
      </c>
      <c r="Z266" s="116">
        <f t="shared" si="441"/>
        <v>0</v>
      </c>
      <c r="AA266" s="97">
        <f t="shared" si="456"/>
        <v>0</v>
      </c>
      <c r="AB266" s="9"/>
      <c r="AC266" s="9">
        <f>GFA!AB267</f>
        <v>0</v>
      </c>
      <c r="AD266" s="9">
        <f>GFA!AD267</f>
        <v>0</v>
      </c>
      <c r="AE266" s="97">
        <f t="shared" si="442"/>
        <v>0</v>
      </c>
      <c r="AF266" s="9">
        <f t="shared" si="443"/>
        <v>0</v>
      </c>
      <c r="AG266" s="115">
        <f t="shared" si="444"/>
        <v>0</v>
      </c>
      <c r="AH266" s="116">
        <f t="shared" si="445"/>
        <v>0</v>
      </c>
      <c r="AI266" s="97">
        <f t="shared" si="457"/>
        <v>0</v>
      </c>
      <c r="AJ266" s="9"/>
      <c r="AK266" s="9">
        <f>GFA!AJ267</f>
        <v>0</v>
      </c>
      <c r="AL266" s="9">
        <f>GFA!AL267</f>
        <v>0</v>
      </c>
      <c r="AM266" s="97">
        <f t="shared" si="446"/>
        <v>0</v>
      </c>
      <c r="AN266" s="9">
        <f t="shared" si="447"/>
        <v>0</v>
      </c>
      <c r="AO266" s="115">
        <f t="shared" si="448"/>
        <v>0</v>
      </c>
      <c r="AP266" s="116">
        <f t="shared" si="449"/>
        <v>0</v>
      </c>
      <c r="AQ266" s="97">
        <f t="shared" si="458"/>
        <v>0</v>
      </c>
      <c r="AR266" s="9"/>
      <c r="AS266" s="9">
        <f>GFA!AR267</f>
        <v>0</v>
      </c>
      <c r="AT266" s="9">
        <f>GFA!AT267</f>
        <v>0</v>
      </c>
      <c r="AU266" s="97">
        <f t="shared" si="450"/>
        <v>0</v>
      </c>
      <c r="AV266" s="9">
        <f t="shared" si="451"/>
        <v>0</v>
      </c>
      <c r="AW266" s="115">
        <f t="shared" si="452"/>
        <v>0</v>
      </c>
      <c r="AX266" s="116">
        <f t="shared" si="453"/>
        <v>0</v>
      </c>
      <c r="AY266" s="97">
        <f t="shared" si="459"/>
        <v>0</v>
      </c>
    </row>
    <row r="267" spans="2:51" x14ac:dyDescent="0.35">
      <c r="B267" s="7" t="s">
        <v>147</v>
      </c>
      <c r="C267" s="14">
        <v>0.3</v>
      </c>
      <c r="D267" s="9"/>
      <c r="E267" s="9">
        <f>GFA!D268</f>
        <v>0</v>
      </c>
      <c r="F267" s="9">
        <f>GFA!F268</f>
        <v>0</v>
      </c>
      <c r="G267" s="97">
        <f t="shared" si="431"/>
        <v>0</v>
      </c>
      <c r="H267" s="9">
        <v>0</v>
      </c>
      <c r="I267" s="115">
        <f t="shared" si="432"/>
        <v>0</v>
      </c>
      <c r="J267" s="116">
        <f t="shared" si="433"/>
        <v>0</v>
      </c>
      <c r="K267" s="97">
        <f t="shared" si="454"/>
        <v>0</v>
      </c>
      <c r="L267" s="9"/>
      <c r="M267" s="9">
        <f>GFA!L268</f>
        <v>0</v>
      </c>
      <c r="N267" s="9">
        <f>GFA!N268</f>
        <v>0</v>
      </c>
      <c r="O267" s="97">
        <f t="shared" si="434"/>
        <v>0</v>
      </c>
      <c r="P267" s="9">
        <f t="shared" si="435"/>
        <v>0</v>
      </c>
      <c r="Q267" s="115">
        <f t="shared" si="436"/>
        <v>0</v>
      </c>
      <c r="R267" s="116">
        <f t="shared" si="437"/>
        <v>0</v>
      </c>
      <c r="S267" s="97">
        <f t="shared" si="455"/>
        <v>0</v>
      </c>
      <c r="T267" s="9"/>
      <c r="U267" s="9">
        <f>GFA!T268</f>
        <v>0</v>
      </c>
      <c r="V267" s="9">
        <f>GFA!V268</f>
        <v>0</v>
      </c>
      <c r="W267" s="97">
        <f t="shared" si="438"/>
        <v>0</v>
      </c>
      <c r="X267" s="9">
        <f t="shared" si="439"/>
        <v>0</v>
      </c>
      <c r="Y267" s="115">
        <f t="shared" si="440"/>
        <v>0</v>
      </c>
      <c r="Z267" s="116">
        <f t="shared" si="441"/>
        <v>0</v>
      </c>
      <c r="AA267" s="97">
        <f t="shared" si="456"/>
        <v>0</v>
      </c>
      <c r="AB267" s="9"/>
      <c r="AC267" s="9">
        <f>GFA!AB268</f>
        <v>0</v>
      </c>
      <c r="AD267" s="9">
        <f>GFA!AD268</f>
        <v>0</v>
      </c>
      <c r="AE267" s="97">
        <f t="shared" si="442"/>
        <v>0</v>
      </c>
      <c r="AF267" s="9">
        <f t="shared" si="443"/>
        <v>0</v>
      </c>
      <c r="AG267" s="115">
        <f t="shared" si="444"/>
        <v>0</v>
      </c>
      <c r="AH267" s="116">
        <f t="shared" si="445"/>
        <v>0</v>
      </c>
      <c r="AI267" s="97">
        <f t="shared" si="457"/>
        <v>0</v>
      </c>
      <c r="AJ267" s="9"/>
      <c r="AK267" s="9">
        <f>GFA!AJ268</f>
        <v>0</v>
      </c>
      <c r="AL267" s="9">
        <f>GFA!AL268</f>
        <v>0</v>
      </c>
      <c r="AM267" s="97">
        <f t="shared" si="446"/>
        <v>0</v>
      </c>
      <c r="AN267" s="9">
        <f t="shared" si="447"/>
        <v>0</v>
      </c>
      <c r="AO267" s="115">
        <f t="shared" si="448"/>
        <v>0</v>
      </c>
      <c r="AP267" s="116">
        <f t="shared" si="449"/>
        <v>0</v>
      </c>
      <c r="AQ267" s="97">
        <f t="shared" si="458"/>
        <v>0</v>
      </c>
      <c r="AR267" s="9"/>
      <c r="AS267" s="9">
        <f>GFA!AR268</f>
        <v>0</v>
      </c>
      <c r="AT267" s="9">
        <f>GFA!AT268</f>
        <v>0</v>
      </c>
      <c r="AU267" s="97">
        <f t="shared" si="450"/>
        <v>0</v>
      </c>
      <c r="AV267" s="9">
        <f t="shared" si="451"/>
        <v>0</v>
      </c>
      <c r="AW267" s="115">
        <f t="shared" si="452"/>
        <v>0</v>
      </c>
      <c r="AX267" s="116">
        <f t="shared" si="453"/>
        <v>0</v>
      </c>
      <c r="AY267" s="97">
        <f t="shared" si="459"/>
        <v>0</v>
      </c>
    </row>
    <row r="268" spans="2:51" x14ac:dyDescent="0.35">
      <c r="B268" s="7" t="s">
        <v>148</v>
      </c>
      <c r="C268" s="14">
        <v>0.3</v>
      </c>
      <c r="D268" s="9"/>
      <c r="E268" s="9">
        <f>GFA!D269</f>
        <v>0</v>
      </c>
      <c r="F268" s="9">
        <f>GFA!F269</f>
        <v>0</v>
      </c>
      <c r="G268" s="97">
        <f t="shared" si="431"/>
        <v>0</v>
      </c>
      <c r="H268" s="9">
        <v>0</v>
      </c>
      <c r="I268" s="115">
        <f t="shared" si="432"/>
        <v>0</v>
      </c>
      <c r="J268" s="116">
        <f t="shared" si="433"/>
        <v>0</v>
      </c>
      <c r="K268" s="97">
        <f t="shared" si="454"/>
        <v>0</v>
      </c>
      <c r="L268" s="9"/>
      <c r="M268" s="9">
        <f>GFA!L269</f>
        <v>0</v>
      </c>
      <c r="N268" s="9">
        <f>GFA!N269</f>
        <v>0</v>
      </c>
      <c r="O268" s="97">
        <f t="shared" si="434"/>
        <v>0</v>
      </c>
      <c r="P268" s="9">
        <f t="shared" si="435"/>
        <v>0</v>
      </c>
      <c r="Q268" s="115">
        <f t="shared" si="436"/>
        <v>0</v>
      </c>
      <c r="R268" s="116">
        <f t="shared" si="437"/>
        <v>0</v>
      </c>
      <c r="S268" s="97">
        <f t="shared" si="455"/>
        <v>0</v>
      </c>
      <c r="T268" s="9"/>
      <c r="U268" s="9">
        <f>GFA!T269</f>
        <v>0</v>
      </c>
      <c r="V268" s="9">
        <f>GFA!V269</f>
        <v>0</v>
      </c>
      <c r="W268" s="97">
        <f t="shared" si="438"/>
        <v>0</v>
      </c>
      <c r="X268" s="9">
        <f t="shared" si="439"/>
        <v>0</v>
      </c>
      <c r="Y268" s="115">
        <f t="shared" si="440"/>
        <v>0</v>
      </c>
      <c r="Z268" s="116">
        <f t="shared" si="441"/>
        <v>0</v>
      </c>
      <c r="AA268" s="97">
        <f t="shared" si="456"/>
        <v>0</v>
      </c>
      <c r="AB268" s="9"/>
      <c r="AC268" s="9">
        <f>GFA!AB269</f>
        <v>0</v>
      </c>
      <c r="AD268" s="9">
        <f>GFA!AD269</f>
        <v>0</v>
      </c>
      <c r="AE268" s="97">
        <f t="shared" si="442"/>
        <v>0</v>
      </c>
      <c r="AF268" s="9">
        <f t="shared" si="443"/>
        <v>0</v>
      </c>
      <c r="AG268" s="115">
        <f t="shared" si="444"/>
        <v>0</v>
      </c>
      <c r="AH268" s="116">
        <f t="shared" si="445"/>
        <v>0</v>
      </c>
      <c r="AI268" s="97">
        <f t="shared" si="457"/>
        <v>0</v>
      </c>
      <c r="AJ268" s="9"/>
      <c r="AK268" s="9">
        <f>GFA!AJ269</f>
        <v>0</v>
      </c>
      <c r="AL268" s="9">
        <f>GFA!AL269</f>
        <v>0</v>
      </c>
      <c r="AM268" s="97">
        <f t="shared" si="446"/>
        <v>0</v>
      </c>
      <c r="AN268" s="9">
        <f t="shared" si="447"/>
        <v>0</v>
      </c>
      <c r="AO268" s="115">
        <f t="shared" si="448"/>
        <v>0</v>
      </c>
      <c r="AP268" s="116">
        <f t="shared" si="449"/>
        <v>0</v>
      </c>
      <c r="AQ268" s="97">
        <f t="shared" si="458"/>
        <v>0</v>
      </c>
      <c r="AR268" s="9"/>
      <c r="AS268" s="9">
        <f>GFA!AR269</f>
        <v>0</v>
      </c>
      <c r="AT268" s="9">
        <f>GFA!AT269</f>
        <v>0</v>
      </c>
      <c r="AU268" s="97">
        <f t="shared" si="450"/>
        <v>0</v>
      </c>
      <c r="AV268" s="9">
        <f t="shared" si="451"/>
        <v>0</v>
      </c>
      <c r="AW268" s="115">
        <f t="shared" si="452"/>
        <v>0</v>
      </c>
      <c r="AX268" s="116">
        <f t="shared" si="453"/>
        <v>0</v>
      </c>
      <c r="AY268" s="97">
        <f t="shared" si="459"/>
        <v>0</v>
      </c>
    </row>
    <row r="269" spans="2:51" ht="31" x14ac:dyDescent="0.35">
      <c r="B269" s="84" t="s">
        <v>149</v>
      </c>
      <c r="C269" s="117">
        <v>3.3399999999999999E-2</v>
      </c>
      <c r="D269" s="9"/>
      <c r="E269" s="9">
        <f>GFA!D270</f>
        <v>0</v>
      </c>
      <c r="F269" s="9">
        <f>GFA!F270</f>
        <v>0</v>
      </c>
      <c r="G269" s="97">
        <f t="shared" si="431"/>
        <v>0</v>
      </c>
      <c r="H269" s="9">
        <v>0</v>
      </c>
      <c r="I269" s="115">
        <f t="shared" si="432"/>
        <v>0</v>
      </c>
      <c r="J269" s="116">
        <f t="shared" si="433"/>
        <v>0</v>
      </c>
      <c r="K269" s="97">
        <f t="shared" si="454"/>
        <v>0</v>
      </c>
      <c r="L269" s="9"/>
      <c r="M269" s="9">
        <f>GFA!L270</f>
        <v>0</v>
      </c>
      <c r="N269" s="9">
        <f>GFA!N270</f>
        <v>0</v>
      </c>
      <c r="O269" s="97">
        <f t="shared" si="434"/>
        <v>0</v>
      </c>
      <c r="P269" s="9">
        <f t="shared" si="435"/>
        <v>0</v>
      </c>
      <c r="Q269" s="115">
        <f t="shared" si="436"/>
        <v>0</v>
      </c>
      <c r="R269" s="116">
        <f t="shared" si="437"/>
        <v>0</v>
      </c>
      <c r="S269" s="97">
        <f t="shared" si="455"/>
        <v>0</v>
      </c>
      <c r="T269" s="9"/>
      <c r="U269" s="9">
        <f>GFA!T270</f>
        <v>0</v>
      </c>
      <c r="V269" s="9">
        <f>GFA!V270</f>
        <v>0</v>
      </c>
      <c r="W269" s="97">
        <f t="shared" si="438"/>
        <v>0</v>
      </c>
      <c r="X269" s="9">
        <f t="shared" si="439"/>
        <v>0</v>
      </c>
      <c r="Y269" s="115">
        <f t="shared" si="440"/>
        <v>0</v>
      </c>
      <c r="Z269" s="116">
        <f t="shared" si="441"/>
        <v>0</v>
      </c>
      <c r="AA269" s="97">
        <f t="shared" si="456"/>
        <v>0</v>
      </c>
      <c r="AB269" s="9"/>
      <c r="AC269" s="9">
        <f>GFA!AB270</f>
        <v>0</v>
      </c>
      <c r="AD269" s="9">
        <f>GFA!AD270</f>
        <v>0</v>
      </c>
      <c r="AE269" s="97">
        <f t="shared" si="442"/>
        <v>0</v>
      </c>
      <c r="AF269" s="9">
        <f t="shared" si="443"/>
        <v>0</v>
      </c>
      <c r="AG269" s="115">
        <f t="shared" si="444"/>
        <v>0</v>
      </c>
      <c r="AH269" s="116">
        <f t="shared" si="445"/>
        <v>0</v>
      </c>
      <c r="AI269" s="97">
        <f t="shared" si="457"/>
        <v>0</v>
      </c>
      <c r="AJ269" s="9"/>
      <c r="AK269" s="9">
        <f>GFA!AJ270</f>
        <v>0</v>
      </c>
      <c r="AL269" s="9">
        <f>GFA!AL270</f>
        <v>0</v>
      </c>
      <c r="AM269" s="97">
        <f t="shared" si="446"/>
        <v>0</v>
      </c>
      <c r="AN269" s="9">
        <f t="shared" si="447"/>
        <v>0</v>
      </c>
      <c r="AO269" s="115">
        <f t="shared" si="448"/>
        <v>0</v>
      </c>
      <c r="AP269" s="116">
        <f t="shared" si="449"/>
        <v>0</v>
      </c>
      <c r="AQ269" s="97">
        <f t="shared" si="458"/>
        <v>0</v>
      </c>
      <c r="AR269" s="9"/>
      <c r="AS269" s="9">
        <f>GFA!AR270</f>
        <v>0</v>
      </c>
      <c r="AT269" s="9">
        <f>GFA!AT270</f>
        <v>0</v>
      </c>
      <c r="AU269" s="97">
        <f t="shared" si="450"/>
        <v>0</v>
      </c>
      <c r="AV269" s="9">
        <f t="shared" si="451"/>
        <v>0</v>
      </c>
      <c r="AW269" s="115">
        <f t="shared" si="452"/>
        <v>0</v>
      </c>
      <c r="AX269" s="116">
        <f t="shared" si="453"/>
        <v>0</v>
      </c>
      <c r="AY269" s="97">
        <f t="shared" si="459"/>
        <v>0</v>
      </c>
    </row>
    <row r="270" spans="2:51" x14ac:dyDescent="0.35">
      <c r="B270" s="12" t="s">
        <v>27</v>
      </c>
      <c r="C270" s="12"/>
      <c r="D270" s="13"/>
      <c r="E270" s="13">
        <f t="shared" ref="E270:AY270" si="460">SUM(E253:E269)</f>
        <v>1820.4664416130279</v>
      </c>
      <c r="F270" s="13">
        <f t="shared" si="460"/>
        <v>8.1406482589999971</v>
      </c>
      <c r="G270" s="13">
        <f t="shared" si="460"/>
        <v>1645.7463808848254</v>
      </c>
      <c r="H270" s="13">
        <f t="shared" si="460"/>
        <v>209.68284733933461</v>
      </c>
      <c r="I270" s="13"/>
      <c r="J270" s="13">
        <f t="shared" si="460"/>
        <v>1436.0635335454908</v>
      </c>
      <c r="K270" s="13">
        <f t="shared" si="460"/>
        <v>92.191485056104781</v>
      </c>
      <c r="L270" s="13"/>
      <c r="M270" s="13">
        <f t="shared" si="460"/>
        <v>1828.6070898720282</v>
      </c>
      <c r="N270" s="13">
        <f t="shared" si="460"/>
        <v>13.803797609</v>
      </c>
      <c r="O270" s="13">
        <f t="shared" si="460"/>
        <v>1658.1697987329255</v>
      </c>
      <c r="P270" s="13">
        <f t="shared" si="460"/>
        <v>301.87433239543935</v>
      </c>
      <c r="Q270" s="13"/>
      <c r="R270" s="13">
        <f t="shared" si="460"/>
        <v>1356.295466337486</v>
      </c>
      <c r="S270" s="13">
        <f t="shared" si="460"/>
        <v>92.675192474487147</v>
      </c>
      <c r="T270" s="13"/>
      <c r="U270" s="13">
        <f t="shared" si="460"/>
        <v>1842.4108874810281</v>
      </c>
      <c r="V270" s="13">
        <f t="shared" si="460"/>
        <v>25.450541630999997</v>
      </c>
      <c r="W270" s="13">
        <f t="shared" si="460"/>
        <v>1681.0752862008253</v>
      </c>
      <c r="X270" s="13">
        <f t="shared" si="460"/>
        <v>394.54952486992653</v>
      </c>
      <c r="Y270" s="13"/>
      <c r="Z270" s="13">
        <f t="shared" si="460"/>
        <v>1286.5257613308986</v>
      </c>
      <c r="AA270" s="13">
        <f t="shared" si="460"/>
        <v>93.623842335368636</v>
      </c>
      <c r="AB270" s="13"/>
      <c r="AC270" s="13">
        <f t="shared" si="460"/>
        <v>1867.8614291120282</v>
      </c>
      <c r="AD270" s="13">
        <f t="shared" si="460"/>
        <v>103.65525509999999</v>
      </c>
      <c r="AE270" s="13">
        <f t="shared" si="460"/>
        <v>1774.3650157908253</v>
      </c>
      <c r="AF270" s="13">
        <f t="shared" si="460"/>
        <v>488.17336720529522</v>
      </c>
      <c r="AG270" s="13"/>
      <c r="AH270" s="13">
        <f t="shared" si="460"/>
        <v>1286.1916485855299</v>
      </c>
      <c r="AI270" s="13">
        <f t="shared" si="460"/>
        <v>97.019041678994213</v>
      </c>
      <c r="AJ270" s="13"/>
      <c r="AK270" s="13">
        <f t="shared" si="460"/>
        <v>1971.5166842120282</v>
      </c>
      <c r="AL270" s="13">
        <f t="shared" si="460"/>
        <v>7.57</v>
      </c>
      <c r="AM270" s="13">
        <f t="shared" si="460"/>
        <v>1781.1780157908254</v>
      </c>
      <c r="AN270" s="13">
        <f t="shared" si="460"/>
        <v>585.19240888428931</v>
      </c>
      <c r="AO270" s="13"/>
      <c r="AP270" s="13">
        <f t="shared" si="460"/>
        <v>1195.9856069065361</v>
      </c>
      <c r="AQ270" s="13">
        <f t="shared" si="460"/>
        <v>99.955388413634211</v>
      </c>
      <c r="AR270" s="13"/>
      <c r="AS270" s="13">
        <f t="shared" si="460"/>
        <v>1979.0866842120281</v>
      </c>
      <c r="AT270" s="13">
        <f t="shared" si="460"/>
        <v>89.240000000000009</v>
      </c>
      <c r="AU270" s="13">
        <f t="shared" si="460"/>
        <v>1861.4940157908254</v>
      </c>
      <c r="AV270" s="13">
        <f t="shared" si="460"/>
        <v>685.1477972979236</v>
      </c>
      <c r="AW270" s="13"/>
      <c r="AX270" s="13">
        <f t="shared" si="460"/>
        <v>1176.3462184929017</v>
      </c>
      <c r="AY270" s="13">
        <f t="shared" si="460"/>
        <v>102.5111724136342</v>
      </c>
    </row>
    <row r="271" spans="2:51" x14ac:dyDescent="0.35">
      <c r="B271" s="70" t="s">
        <v>161</v>
      </c>
      <c r="C271" s="70"/>
      <c r="D271" s="118">
        <v>4</v>
      </c>
      <c r="E271" s="7"/>
      <c r="F271" s="7"/>
      <c r="G271" s="7"/>
      <c r="H271" s="7"/>
      <c r="I271" s="7"/>
      <c r="J271" s="7"/>
      <c r="K271" s="7"/>
      <c r="L271" s="118">
        <f>D271-1+2</f>
        <v>5</v>
      </c>
      <c r="M271" s="7"/>
      <c r="N271" s="7"/>
      <c r="O271" s="7"/>
      <c r="P271" s="7"/>
      <c r="Q271" s="7"/>
      <c r="R271" s="7"/>
      <c r="S271" s="7"/>
      <c r="T271" s="118">
        <f>L271-1</f>
        <v>4</v>
      </c>
      <c r="U271" s="7"/>
      <c r="V271" s="7"/>
      <c r="W271" s="7"/>
      <c r="X271" s="7"/>
      <c r="Y271" s="7"/>
      <c r="Z271" s="7"/>
      <c r="AA271" s="7"/>
      <c r="AB271" s="118">
        <f>T271-1</f>
        <v>3</v>
      </c>
      <c r="AC271" s="7"/>
      <c r="AD271" s="7"/>
      <c r="AE271" s="7"/>
      <c r="AF271" s="7"/>
      <c r="AG271" s="7"/>
      <c r="AH271" s="7"/>
      <c r="AI271" s="7"/>
      <c r="AJ271" s="118">
        <f>AB271-1</f>
        <v>2</v>
      </c>
      <c r="AK271" s="7"/>
      <c r="AL271" s="7"/>
      <c r="AM271" s="7"/>
      <c r="AN271" s="7"/>
      <c r="AO271" s="7"/>
      <c r="AP271" s="7"/>
      <c r="AQ271" s="7"/>
      <c r="AR271" s="118">
        <f>AJ271-1</f>
        <v>1</v>
      </c>
      <c r="AS271" s="9"/>
      <c r="AT271" s="9"/>
      <c r="AU271" s="9"/>
      <c r="AV271" s="9"/>
      <c r="AW271" s="9"/>
      <c r="AX271" s="9"/>
      <c r="AY271" s="9"/>
    </row>
    <row r="272" spans="2:51" x14ac:dyDescent="0.35">
      <c r="B272" s="7" t="s">
        <v>133</v>
      </c>
      <c r="C272" s="14">
        <v>0</v>
      </c>
      <c r="D272" s="9"/>
      <c r="E272" s="9">
        <f>GFA!D273</f>
        <v>4.3032215600586891E-2</v>
      </c>
      <c r="F272" s="9">
        <f>GFA!F273</f>
        <v>0</v>
      </c>
      <c r="G272" s="97">
        <f t="shared" ref="G272:G288" si="461">90%*(E272+F272)</f>
        <v>3.8728994040528202E-2</v>
      </c>
      <c r="H272" s="9">
        <v>0</v>
      </c>
      <c r="I272" s="115">
        <f t="shared" ref="I272:I288" si="462">IFERROR(H272/G272,0)</f>
        <v>0</v>
      </c>
      <c r="J272" s="116">
        <f t="shared" ref="J272:J288" si="463">MAX(G272-H272,0)</f>
        <v>3.8728994040528202E-2</v>
      </c>
      <c r="K272" s="97">
        <f>IF(I272&lt;70%,MIN(J272,(E272+F272/2)*$C272),J272/D$271)</f>
        <v>0</v>
      </c>
      <c r="L272" s="9"/>
      <c r="M272" s="9">
        <f>GFA!L273</f>
        <v>4.3032215600586891E-2</v>
      </c>
      <c r="N272" s="9">
        <f>GFA!N273</f>
        <v>0</v>
      </c>
      <c r="O272" s="97">
        <f t="shared" ref="O272:O288" si="464">90%*(M272+N272)</f>
        <v>3.8728994040528202E-2</v>
      </c>
      <c r="P272" s="9">
        <f t="shared" ref="P272:P288" si="465">H272+K272</f>
        <v>0</v>
      </c>
      <c r="Q272" s="115">
        <f t="shared" ref="Q272:Q288" si="466">IFERROR(P272/O272,0)</f>
        <v>0</v>
      </c>
      <c r="R272" s="116">
        <f t="shared" ref="R272:R288" si="467">MAX(O272-P272,0)</f>
        <v>3.8728994040528202E-2</v>
      </c>
      <c r="S272" s="97">
        <f>IF(Q272&lt;70%,MIN(R272,(M272+N272/2)*$C272),R272/L$271)</f>
        <v>0</v>
      </c>
      <c r="T272" s="9"/>
      <c r="U272" s="9">
        <f>GFA!T273</f>
        <v>4.3032215600586891E-2</v>
      </c>
      <c r="V272" s="9">
        <f>GFA!V273</f>
        <v>0</v>
      </c>
      <c r="W272" s="97">
        <f t="shared" ref="W272:W288" si="468">90%*(U272+V272)</f>
        <v>3.8728994040528202E-2</v>
      </c>
      <c r="X272" s="9">
        <f t="shared" ref="X272:X288" si="469">P272+S272</f>
        <v>0</v>
      </c>
      <c r="Y272" s="115">
        <f t="shared" ref="Y272:Y288" si="470">IFERROR(X272/W272,0)</f>
        <v>0</v>
      </c>
      <c r="Z272" s="116">
        <f t="shared" ref="Z272:Z288" si="471">MAX(W272-X272,0)</f>
        <v>3.8728994040528202E-2</v>
      </c>
      <c r="AA272" s="97">
        <f>IF(Y272&lt;70%,MIN(Z272,(U272+V272/2)*$C272),Z272/T$271)</f>
        <v>0</v>
      </c>
      <c r="AB272" s="9"/>
      <c r="AC272" s="9">
        <f>GFA!AB273</f>
        <v>4.3032215600586891E-2</v>
      </c>
      <c r="AD272" s="9">
        <f>GFA!AD273</f>
        <v>0</v>
      </c>
      <c r="AE272" s="97">
        <f t="shared" ref="AE272:AE288" si="472">90%*(AC272+AD272)</f>
        <v>3.8728994040528202E-2</v>
      </c>
      <c r="AF272" s="9">
        <f t="shared" ref="AF272:AF288" si="473">X272+AA272</f>
        <v>0</v>
      </c>
      <c r="AG272" s="115">
        <f t="shared" ref="AG272:AG288" si="474">IFERROR(AF272/AE272,0)</f>
        <v>0</v>
      </c>
      <c r="AH272" s="116">
        <f t="shared" ref="AH272:AH288" si="475">MAX(AE272-AF272,0)</f>
        <v>3.8728994040528202E-2</v>
      </c>
      <c r="AI272" s="97">
        <f>IF(AG272&lt;70%,MIN(AH272,(AC272+AD272/2)*$C272),AH272/AB$271)</f>
        <v>0</v>
      </c>
      <c r="AJ272" s="9"/>
      <c r="AK272" s="9">
        <f>GFA!AJ273</f>
        <v>4.3032215600586891E-2</v>
      </c>
      <c r="AL272" s="9">
        <f>GFA!AL273</f>
        <v>0</v>
      </c>
      <c r="AM272" s="97">
        <f t="shared" ref="AM272:AM288" si="476">90%*(AK272+AL272)</f>
        <v>3.8728994040528202E-2</v>
      </c>
      <c r="AN272" s="9">
        <f t="shared" ref="AN272:AN288" si="477">AF272+AI272</f>
        <v>0</v>
      </c>
      <c r="AO272" s="115">
        <f t="shared" ref="AO272:AO288" si="478">IFERROR(AN272/AM272,0)</f>
        <v>0</v>
      </c>
      <c r="AP272" s="116">
        <f t="shared" ref="AP272:AP288" si="479">MAX(AM272-AN272,0)</f>
        <v>3.8728994040528202E-2</v>
      </c>
      <c r="AQ272" s="97">
        <f>IF(AO272&lt;70%,MIN(AP272,(AK272+AL272/2)*$C272),AP272/AJ$271)</f>
        <v>0</v>
      </c>
      <c r="AR272" s="9"/>
      <c r="AS272" s="9">
        <f>GFA!AR273</f>
        <v>4.3032215600586891E-2</v>
      </c>
      <c r="AT272" s="9">
        <f>GFA!AT273</f>
        <v>0</v>
      </c>
      <c r="AU272" s="97">
        <f t="shared" ref="AU272:AU288" si="480">90%*(AS272+AT272)</f>
        <v>3.8728994040528202E-2</v>
      </c>
      <c r="AV272" s="9">
        <f t="shared" ref="AV272:AV288" si="481">AN272+AQ272</f>
        <v>0</v>
      </c>
      <c r="AW272" s="115">
        <f t="shared" ref="AW272:AW288" si="482">IFERROR(AV272/AU272,0)</f>
        <v>0</v>
      </c>
      <c r="AX272" s="116">
        <f t="shared" ref="AX272:AX288" si="483">MAX(AU272-AV272,0)</f>
        <v>3.8728994040528202E-2</v>
      </c>
      <c r="AY272" s="97">
        <f>IF(AW272&lt;70%,MIN(AX272,(AS272+AT272/2)*$C272),AX272/AR$271)</f>
        <v>0</v>
      </c>
    </row>
    <row r="273" spans="2:51" x14ac:dyDescent="0.35">
      <c r="B273" s="7" t="s">
        <v>134</v>
      </c>
      <c r="C273" s="14">
        <v>3.3399999999999999E-2</v>
      </c>
      <c r="D273" s="9"/>
      <c r="E273" s="9">
        <f>GFA!D274</f>
        <v>48.926438184093442</v>
      </c>
      <c r="F273" s="9">
        <f>GFA!F274</f>
        <v>2.9744209448304675</v>
      </c>
      <c r="G273" s="97">
        <f t="shared" si="461"/>
        <v>46.710773216031519</v>
      </c>
      <c r="H273" s="9">
        <v>35.883314483787586</v>
      </c>
      <c r="I273" s="115">
        <f t="shared" si="462"/>
        <v>0.76820210870481032</v>
      </c>
      <c r="J273" s="116">
        <f t="shared" si="463"/>
        <v>10.827458732243933</v>
      </c>
      <c r="K273" s="97">
        <f t="shared" ref="K273:K288" si="484">IF(I273&lt;70%,MIN(J273,(E273+F273/2)*$C273),J273/D$271)</f>
        <v>2.7068646830609833</v>
      </c>
      <c r="L273" s="9"/>
      <c r="M273" s="9">
        <f>GFA!L274</f>
        <v>51.900859128923912</v>
      </c>
      <c r="N273" s="9">
        <f>GFA!N274</f>
        <v>2.7197947933929409</v>
      </c>
      <c r="O273" s="97">
        <f t="shared" si="464"/>
        <v>49.158588530085169</v>
      </c>
      <c r="P273" s="9">
        <f t="shared" si="465"/>
        <v>38.590179166848571</v>
      </c>
      <c r="Q273" s="115">
        <f t="shared" si="466"/>
        <v>0.78501397865057276</v>
      </c>
      <c r="R273" s="116">
        <f t="shared" si="467"/>
        <v>10.568409363236597</v>
      </c>
      <c r="S273" s="97">
        <f t="shared" ref="S273:S288" si="485">IF(Q273&lt;70%,MIN(R273,(M273+N273/2)*$C273),R273/L$271)</f>
        <v>2.1136818726473194</v>
      </c>
      <c r="T273" s="9"/>
      <c r="U273" s="9">
        <f>GFA!T274</f>
        <v>54.620653922316855</v>
      </c>
      <c r="V273" s="9">
        <f>GFA!V274</f>
        <v>0.80375629978418639</v>
      </c>
      <c r="W273" s="97">
        <f t="shared" si="468"/>
        <v>49.881969199890932</v>
      </c>
      <c r="X273" s="9">
        <f t="shared" si="469"/>
        <v>40.703861039495891</v>
      </c>
      <c r="Y273" s="115">
        <f t="shared" si="470"/>
        <v>0.81600349169023767</v>
      </c>
      <c r="Z273" s="116">
        <f t="shared" si="471"/>
        <v>9.1781081603950412</v>
      </c>
      <c r="AA273" s="97">
        <f t="shared" ref="AA273:AA288" si="486">IF(Y273&lt;70%,MIN(Z273,(U273+V273/2)*$C273),Z273/T$271)</f>
        <v>2.2945270400987603</v>
      </c>
      <c r="AB273" s="9"/>
      <c r="AC273" s="9">
        <f>GFA!AB274</f>
        <v>55.424410222101038</v>
      </c>
      <c r="AD273" s="9">
        <f>GFA!AD274</f>
        <v>0</v>
      </c>
      <c r="AE273" s="97">
        <f t="shared" si="472"/>
        <v>49.881969199890932</v>
      </c>
      <c r="AF273" s="9">
        <f t="shared" si="473"/>
        <v>42.998388079594648</v>
      </c>
      <c r="AG273" s="115">
        <f t="shared" si="474"/>
        <v>0.86200261876767814</v>
      </c>
      <c r="AH273" s="116">
        <f t="shared" si="475"/>
        <v>6.8835811202962844</v>
      </c>
      <c r="AI273" s="97">
        <f t="shared" ref="AI273:AI288" si="487">IF(AG273&lt;70%,MIN(AH273,(AC273+AD273/2)*$C273),AH273/AB$271)</f>
        <v>2.2945270400987616</v>
      </c>
      <c r="AJ273" s="9"/>
      <c r="AK273" s="9">
        <f>GFA!AJ274</f>
        <v>55.424410222101038</v>
      </c>
      <c r="AL273" s="9">
        <f>GFA!AL274</f>
        <v>0</v>
      </c>
      <c r="AM273" s="97">
        <f t="shared" si="476"/>
        <v>49.881969199890932</v>
      </c>
      <c r="AN273" s="9">
        <f t="shared" si="477"/>
        <v>45.292915119693411</v>
      </c>
      <c r="AO273" s="115">
        <f t="shared" si="478"/>
        <v>0.90800174584511884</v>
      </c>
      <c r="AP273" s="116">
        <f t="shared" si="479"/>
        <v>4.5890540801975206</v>
      </c>
      <c r="AQ273" s="97">
        <f t="shared" ref="AQ273:AQ288" si="488">IF(AO273&lt;70%,MIN(AP273,(AK273+AL273/2)*$C273),AP273/AJ$271)</f>
        <v>2.2945270400987603</v>
      </c>
      <c r="AR273" s="9"/>
      <c r="AS273" s="9">
        <f>GFA!AR274</f>
        <v>55.424410222101038</v>
      </c>
      <c r="AT273" s="9">
        <f>GFA!AT274</f>
        <v>0</v>
      </c>
      <c r="AU273" s="97">
        <f t="shared" si="480"/>
        <v>49.881969199890932</v>
      </c>
      <c r="AV273" s="9">
        <f t="shared" si="481"/>
        <v>47.587442159792175</v>
      </c>
      <c r="AW273" s="115">
        <f t="shared" si="482"/>
        <v>0.95400087292255953</v>
      </c>
      <c r="AX273" s="116">
        <f t="shared" si="483"/>
        <v>2.2945270400987567</v>
      </c>
      <c r="AY273" s="97">
        <f t="shared" ref="AY273:AY288" si="489">IF(AW273&lt;70%,MIN(AX273,(AS273+AT273/2)*$C273),AX273/AR$271)</f>
        <v>2.2945270400987567</v>
      </c>
    </row>
    <row r="274" spans="2:51" ht="31" x14ac:dyDescent="0.35">
      <c r="B274" s="84" t="s">
        <v>135</v>
      </c>
      <c r="C274" s="117">
        <v>5.28E-2</v>
      </c>
      <c r="D274" s="9"/>
      <c r="E274" s="9">
        <f>GFA!D275</f>
        <v>0</v>
      </c>
      <c r="F274" s="9">
        <f>GFA!F275</f>
        <v>0</v>
      </c>
      <c r="G274" s="97">
        <f t="shared" si="461"/>
        <v>0</v>
      </c>
      <c r="H274" s="9">
        <v>0</v>
      </c>
      <c r="I274" s="115">
        <f t="shared" si="462"/>
        <v>0</v>
      </c>
      <c r="J274" s="116">
        <f t="shared" si="463"/>
        <v>0</v>
      </c>
      <c r="K274" s="97">
        <f t="shared" si="484"/>
        <v>0</v>
      </c>
      <c r="L274" s="9"/>
      <c r="M274" s="9">
        <f>GFA!L275</f>
        <v>0</v>
      </c>
      <c r="N274" s="9">
        <f>GFA!N275</f>
        <v>0</v>
      </c>
      <c r="O274" s="97">
        <f t="shared" si="464"/>
        <v>0</v>
      </c>
      <c r="P274" s="9">
        <f t="shared" si="465"/>
        <v>0</v>
      </c>
      <c r="Q274" s="115">
        <f t="shared" si="466"/>
        <v>0</v>
      </c>
      <c r="R274" s="116">
        <f t="shared" si="467"/>
        <v>0</v>
      </c>
      <c r="S274" s="97">
        <f t="shared" si="485"/>
        <v>0</v>
      </c>
      <c r="T274" s="9"/>
      <c r="U274" s="9">
        <f>GFA!T275</f>
        <v>0</v>
      </c>
      <c r="V274" s="9">
        <f>GFA!V275</f>
        <v>0</v>
      </c>
      <c r="W274" s="97">
        <f t="shared" si="468"/>
        <v>0</v>
      </c>
      <c r="X274" s="9">
        <f t="shared" si="469"/>
        <v>0</v>
      </c>
      <c r="Y274" s="115">
        <f t="shared" si="470"/>
        <v>0</v>
      </c>
      <c r="Z274" s="116">
        <f t="shared" si="471"/>
        <v>0</v>
      </c>
      <c r="AA274" s="97">
        <f t="shared" si="486"/>
        <v>0</v>
      </c>
      <c r="AB274" s="9"/>
      <c r="AC274" s="9">
        <f>GFA!AB275</f>
        <v>0</v>
      </c>
      <c r="AD274" s="9">
        <f>GFA!AD275</f>
        <v>0</v>
      </c>
      <c r="AE274" s="97">
        <f t="shared" si="472"/>
        <v>0</v>
      </c>
      <c r="AF274" s="9">
        <f t="shared" si="473"/>
        <v>0</v>
      </c>
      <c r="AG274" s="115">
        <f t="shared" si="474"/>
        <v>0</v>
      </c>
      <c r="AH274" s="116">
        <f t="shared" si="475"/>
        <v>0</v>
      </c>
      <c r="AI274" s="97">
        <f t="shared" si="487"/>
        <v>0</v>
      </c>
      <c r="AJ274" s="9"/>
      <c r="AK274" s="9">
        <f>GFA!AJ275</f>
        <v>0</v>
      </c>
      <c r="AL274" s="9">
        <f>GFA!AL275</f>
        <v>0</v>
      </c>
      <c r="AM274" s="97">
        <f t="shared" si="476"/>
        <v>0</v>
      </c>
      <c r="AN274" s="9">
        <f t="shared" si="477"/>
        <v>0</v>
      </c>
      <c r="AO274" s="115">
        <f t="shared" si="478"/>
        <v>0</v>
      </c>
      <c r="AP274" s="116">
        <f t="shared" si="479"/>
        <v>0</v>
      </c>
      <c r="AQ274" s="97">
        <f t="shared" si="488"/>
        <v>0</v>
      </c>
      <c r="AR274" s="9"/>
      <c r="AS274" s="9">
        <f>GFA!AR275</f>
        <v>0</v>
      </c>
      <c r="AT274" s="9">
        <f>GFA!AT275</f>
        <v>0</v>
      </c>
      <c r="AU274" s="97">
        <f t="shared" si="480"/>
        <v>0</v>
      </c>
      <c r="AV274" s="9">
        <f t="shared" si="481"/>
        <v>0</v>
      </c>
      <c r="AW274" s="115">
        <f t="shared" si="482"/>
        <v>0</v>
      </c>
      <c r="AX274" s="116">
        <f t="shared" si="483"/>
        <v>0</v>
      </c>
      <c r="AY274" s="97">
        <f t="shared" si="489"/>
        <v>0</v>
      </c>
    </row>
    <row r="275" spans="2:51" x14ac:dyDescent="0.35">
      <c r="B275" s="7" t="s">
        <v>136</v>
      </c>
      <c r="C275" s="14">
        <v>5.28E-2</v>
      </c>
      <c r="D275" s="9"/>
      <c r="E275" s="9">
        <f>GFA!D276</f>
        <v>3.9666746692682118</v>
      </c>
      <c r="F275" s="9">
        <f>GFA!F276</f>
        <v>0.23897185953825908</v>
      </c>
      <c r="G275" s="97">
        <f t="shared" si="461"/>
        <v>3.7850818759258242</v>
      </c>
      <c r="H275" s="9">
        <v>2.6633469943531298</v>
      </c>
      <c r="I275" s="115">
        <f t="shared" si="462"/>
        <v>0.70364316589629383</v>
      </c>
      <c r="J275" s="116">
        <f t="shared" si="463"/>
        <v>1.1217348815726944</v>
      </c>
      <c r="K275" s="97">
        <f t="shared" si="484"/>
        <v>0.2804337203931736</v>
      </c>
      <c r="L275" s="9"/>
      <c r="M275" s="9">
        <f>GFA!L276</f>
        <v>4.2056465288064713</v>
      </c>
      <c r="N275" s="9">
        <f>GFA!N276</f>
        <v>0</v>
      </c>
      <c r="O275" s="97">
        <f t="shared" si="464"/>
        <v>3.7850818759258242</v>
      </c>
      <c r="P275" s="9">
        <f t="shared" si="465"/>
        <v>2.9437807147463033</v>
      </c>
      <c r="Q275" s="115">
        <f t="shared" si="466"/>
        <v>0.77773237442222032</v>
      </c>
      <c r="R275" s="116">
        <f t="shared" si="467"/>
        <v>0.84130116117952092</v>
      </c>
      <c r="S275" s="97">
        <f t="shared" si="485"/>
        <v>0.16826023223590419</v>
      </c>
      <c r="T275" s="9"/>
      <c r="U275" s="9">
        <f>GFA!T276</f>
        <v>4.2056465288064713</v>
      </c>
      <c r="V275" s="9">
        <f>GFA!V276</f>
        <v>0</v>
      </c>
      <c r="W275" s="97">
        <f t="shared" si="468"/>
        <v>3.7850818759258242</v>
      </c>
      <c r="X275" s="9">
        <f t="shared" si="469"/>
        <v>3.1120409469822077</v>
      </c>
      <c r="Y275" s="115">
        <f t="shared" si="470"/>
        <v>0.82218589953777632</v>
      </c>
      <c r="Z275" s="116">
        <f t="shared" si="471"/>
        <v>0.67304092894361656</v>
      </c>
      <c r="AA275" s="97">
        <f t="shared" si="486"/>
        <v>0.16826023223590414</v>
      </c>
      <c r="AB275" s="9"/>
      <c r="AC275" s="9">
        <f>GFA!AB276</f>
        <v>4.2056465288064713</v>
      </c>
      <c r="AD275" s="9">
        <f>GFA!AD276</f>
        <v>0</v>
      </c>
      <c r="AE275" s="97">
        <f t="shared" si="472"/>
        <v>3.7850818759258242</v>
      </c>
      <c r="AF275" s="9">
        <f t="shared" si="473"/>
        <v>3.280301179218112</v>
      </c>
      <c r="AG275" s="115">
        <f t="shared" si="474"/>
        <v>0.86663942465333232</v>
      </c>
      <c r="AH275" s="116">
        <f t="shared" si="475"/>
        <v>0.5047806967077122</v>
      </c>
      <c r="AI275" s="97">
        <f t="shared" si="487"/>
        <v>0.16826023223590406</v>
      </c>
      <c r="AJ275" s="9"/>
      <c r="AK275" s="9">
        <f>GFA!AJ276</f>
        <v>4.2056465288064713</v>
      </c>
      <c r="AL275" s="9">
        <f>GFA!AL276</f>
        <v>0</v>
      </c>
      <c r="AM275" s="97">
        <f t="shared" si="476"/>
        <v>3.7850818759258242</v>
      </c>
      <c r="AN275" s="9">
        <f t="shared" si="477"/>
        <v>3.448561411454016</v>
      </c>
      <c r="AO275" s="115">
        <f t="shared" si="478"/>
        <v>0.91109294976888822</v>
      </c>
      <c r="AP275" s="116">
        <f t="shared" si="479"/>
        <v>0.33652046447180828</v>
      </c>
      <c r="AQ275" s="97">
        <f t="shared" si="488"/>
        <v>0.16826023223590414</v>
      </c>
      <c r="AR275" s="9"/>
      <c r="AS275" s="9">
        <f>GFA!AR276</f>
        <v>4.2056465288064713</v>
      </c>
      <c r="AT275" s="9">
        <f>GFA!AT276</f>
        <v>0</v>
      </c>
      <c r="AU275" s="97">
        <f t="shared" si="480"/>
        <v>3.7850818759258242</v>
      </c>
      <c r="AV275" s="9">
        <f t="shared" si="481"/>
        <v>3.6168216436899199</v>
      </c>
      <c r="AW275" s="115">
        <f t="shared" si="482"/>
        <v>0.955546474884444</v>
      </c>
      <c r="AX275" s="116">
        <f t="shared" si="483"/>
        <v>0.16826023223590436</v>
      </c>
      <c r="AY275" s="97">
        <f t="shared" si="489"/>
        <v>0.16826023223590436</v>
      </c>
    </row>
    <row r="276" spans="2:51" x14ac:dyDescent="0.35">
      <c r="B276" s="7" t="s">
        <v>137</v>
      </c>
      <c r="C276" s="14">
        <v>3.3399999999999999E-2</v>
      </c>
      <c r="D276" s="9"/>
      <c r="E276" s="9">
        <f>GFA!D277</f>
        <v>16.729680845356793</v>
      </c>
      <c r="F276" s="9">
        <f>GFA!F277</f>
        <v>4.6869414238792002</v>
      </c>
      <c r="G276" s="97">
        <f t="shared" si="461"/>
        <v>19.274960042312394</v>
      </c>
      <c r="H276" s="9">
        <v>4.9025574791329678</v>
      </c>
      <c r="I276" s="115">
        <f t="shared" si="462"/>
        <v>0.2543485158138265</v>
      </c>
      <c r="J276" s="116">
        <f t="shared" si="463"/>
        <v>14.372402563179426</v>
      </c>
      <c r="K276" s="97">
        <f t="shared" si="484"/>
        <v>0.63704326201369943</v>
      </c>
      <c r="L276" s="9"/>
      <c r="M276" s="9">
        <f>GFA!L277</f>
        <v>21.416622269235994</v>
      </c>
      <c r="N276" s="9">
        <f>GFA!N277</f>
        <v>1.3527741605947363E-2</v>
      </c>
      <c r="O276" s="97">
        <f t="shared" si="464"/>
        <v>19.287135009757748</v>
      </c>
      <c r="P276" s="9">
        <f t="shared" si="465"/>
        <v>5.5396007411466677</v>
      </c>
      <c r="Q276" s="115">
        <f t="shared" si="466"/>
        <v>0.28721739845467315</v>
      </c>
      <c r="R276" s="116">
        <f t="shared" si="467"/>
        <v>13.74753426861108</v>
      </c>
      <c r="S276" s="97">
        <f t="shared" si="485"/>
        <v>0.71554109707730151</v>
      </c>
      <c r="T276" s="9"/>
      <c r="U276" s="9">
        <f>GFA!T277</f>
        <v>21.430150010841942</v>
      </c>
      <c r="V276" s="9">
        <f>GFA!V277</f>
        <v>0.5808669704055669</v>
      </c>
      <c r="W276" s="97">
        <f t="shared" si="468"/>
        <v>19.809915283122759</v>
      </c>
      <c r="X276" s="9">
        <f t="shared" si="469"/>
        <v>6.2551418382239694</v>
      </c>
      <c r="Y276" s="115">
        <f t="shared" si="470"/>
        <v>0.31575813166415179</v>
      </c>
      <c r="Z276" s="116">
        <f t="shared" si="471"/>
        <v>13.554773444898789</v>
      </c>
      <c r="AA276" s="97">
        <f t="shared" si="486"/>
        <v>0.7254674887678938</v>
      </c>
      <c r="AB276" s="9"/>
      <c r="AC276" s="9">
        <f>GFA!AB277</f>
        <v>22.011016981247508</v>
      </c>
      <c r="AD276" s="9">
        <f>GFA!AD277</f>
        <v>0</v>
      </c>
      <c r="AE276" s="97">
        <f t="shared" si="472"/>
        <v>19.809915283122759</v>
      </c>
      <c r="AF276" s="9">
        <f t="shared" si="473"/>
        <v>6.9806093269918632</v>
      </c>
      <c r="AG276" s="115">
        <f t="shared" si="474"/>
        <v>0.35237956484039373</v>
      </c>
      <c r="AH276" s="116">
        <f t="shared" si="475"/>
        <v>12.829305956130895</v>
      </c>
      <c r="AI276" s="97">
        <f t="shared" si="487"/>
        <v>0.73516796717366673</v>
      </c>
      <c r="AJ276" s="9"/>
      <c r="AK276" s="9">
        <f>GFA!AJ277</f>
        <v>22.011016981247508</v>
      </c>
      <c r="AL276" s="9">
        <f>GFA!AL277</f>
        <v>0</v>
      </c>
      <c r="AM276" s="97">
        <f t="shared" si="476"/>
        <v>19.809915283122759</v>
      </c>
      <c r="AN276" s="9">
        <f t="shared" si="477"/>
        <v>7.7157772941655303</v>
      </c>
      <c r="AO276" s="115">
        <f t="shared" si="478"/>
        <v>0.38949067595150488</v>
      </c>
      <c r="AP276" s="116">
        <f t="shared" si="479"/>
        <v>12.094137988957229</v>
      </c>
      <c r="AQ276" s="97">
        <f t="shared" si="488"/>
        <v>0.73516796717366673</v>
      </c>
      <c r="AR276" s="9"/>
      <c r="AS276" s="9">
        <f>GFA!AR277</f>
        <v>22.011016981247508</v>
      </c>
      <c r="AT276" s="9">
        <f>GFA!AT277</f>
        <v>0</v>
      </c>
      <c r="AU276" s="97">
        <f t="shared" si="480"/>
        <v>19.809915283122759</v>
      </c>
      <c r="AV276" s="9">
        <f t="shared" si="481"/>
        <v>8.4509452613391964</v>
      </c>
      <c r="AW276" s="115">
        <f t="shared" si="482"/>
        <v>0.42660178706261592</v>
      </c>
      <c r="AX276" s="116">
        <f t="shared" si="483"/>
        <v>11.358970021783563</v>
      </c>
      <c r="AY276" s="97">
        <f t="shared" si="489"/>
        <v>0.73516796717366673</v>
      </c>
    </row>
    <row r="277" spans="2:51" x14ac:dyDescent="0.35">
      <c r="B277" s="7" t="s">
        <v>138</v>
      </c>
      <c r="C277" s="14">
        <v>5.28E-2</v>
      </c>
      <c r="D277" s="9"/>
      <c r="E277" s="9">
        <f>GFA!D278</f>
        <v>83.63742038984185</v>
      </c>
      <c r="F277" s="9">
        <f>GFA!F278</f>
        <v>4.1346476773807419</v>
      </c>
      <c r="G277" s="97">
        <f t="shared" si="461"/>
        <v>78.994861260500329</v>
      </c>
      <c r="H277" s="9">
        <v>58.526119026482213</v>
      </c>
      <c r="I277" s="115">
        <f t="shared" si="462"/>
        <v>0.74088514230667979</v>
      </c>
      <c r="J277" s="116">
        <f t="shared" si="463"/>
        <v>20.468742234018116</v>
      </c>
      <c r="K277" s="97">
        <f t="shared" si="484"/>
        <v>5.1171855585045289</v>
      </c>
      <c r="L277" s="9"/>
      <c r="M277" s="9">
        <f>GFA!L278</f>
        <v>87.772068067222591</v>
      </c>
      <c r="N277" s="9">
        <f>GFA!N278</f>
        <v>9.1865584605126323</v>
      </c>
      <c r="O277" s="97">
        <f t="shared" si="464"/>
        <v>87.262763874961706</v>
      </c>
      <c r="P277" s="9">
        <f t="shared" si="465"/>
        <v>63.643304584986744</v>
      </c>
      <c r="Q277" s="115">
        <f t="shared" si="466"/>
        <v>0.72932946148921951</v>
      </c>
      <c r="R277" s="116">
        <f t="shared" si="467"/>
        <v>23.619459289974962</v>
      </c>
      <c r="S277" s="97">
        <f t="shared" si="485"/>
        <v>4.7238918579949924</v>
      </c>
      <c r="T277" s="9"/>
      <c r="U277" s="9">
        <f>GFA!T278</f>
        <v>96.95862652773522</v>
      </c>
      <c r="V277" s="9">
        <f>GFA!V278</f>
        <v>6.0068941285878488</v>
      </c>
      <c r="W277" s="97">
        <f t="shared" si="468"/>
        <v>92.668968590690767</v>
      </c>
      <c r="X277" s="9">
        <f t="shared" si="469"/>
        <v>68.367196442981736</v>
      </c>
      <c r="Y277" s="115">
        <f t="shared" si="470"/>
        <v>0.73775717462608825</v>
      </c>
      <c r="Z277" s="116">
        <f t="shared" si="471"/>
        <v>24.30177214770903</v>
      </c>
      <c r="AA277" s="97">
        <f t="shared" si="486"/>
        <v>6.0754430369272576</v>
      </c>
      <c r="AB277" s="9"/>
      <c r="AC277" s="9">
        <f>GFA!AB278</f>
        <v>102.88818085632306</v>
      </c>
      <c r="AD277" s="9">
        <f>GFA!AD278</f>
        <v>54.653169999999996</v>
      </c>
      <c r="AE277" s="97">
        <f t="shared" si="472"/>
        <v>141.78721577069075</v>
      </c>
      <c r="AF277" s="9">
        <f t="shared" si="473"/>
        <v>74.442639479908991</v>
      </c>
      <c r="AG277" s="115">
        <f t="shared" si="474"/>
        <v>0.52503068824133892</v>
      </c>
      <c r="AH277" s="116">
        <f t="shared" si="475"/>
        <v>67.34457629078176</v>
      </c>
      <c r="AI277" s="97">
        <f t="shared" si="487"/>
        <v>6.8753396372138571</v>
      </c>
      <c r="AJ277" s="9"/>
      <c r="AK277" s="9">
        <f>GFA!AJ278</f>
        <v>157.54135085632305</v>
      </c>
      <c r="AL277" s="9">
        <f>GFA!AL278</f>
        <v>61.46</v>
      </c>
      <c r="AM277" s="97">
        <f t="shared" si="476"/>
        <v>197.10121577069074</v>
      </c>
      <c r="AN277" s="9">
        <f t="shared" si="477"/>
        <v>81.317979117122846</v>
      </c>
      <c r="AO277" s="115">
        <f t="shared" si="478"/>
        <v>0.41256964752428965</v>
      </c>
      <c r="AP277" s="116">
        <f t="shared" si="479"/>
        <v>115.7832366535679</v>
      </c>
      <c r="AQ277" s="97">
        <f t="shared" si="488"/>
        <v>9.9407273252138566</v>
      </c>
      <c r="AR277" s="9"/>
      <c r="AS277" s="9">
        <f>GFA!AR278</f>
        <v>219.00135085632306</v>
      </c>
      <c r="AT277" s="9">
        <f>GFA!AT278</f>
        <v>61.719999999999992</v>
      </c>
      <c r="AU277" s="97">
        <f t="shared" si="480"/>
        <v>252.64921577069074</v>
      </c>
      <c r="AV277" s="9">
        <f t="shared" si="481"/>
        <v>91.258706442336702</v>
      </c>
      <c r="AW277" s="115">
        <f t="shared" si="482"/>
        <v>0.36120716291937693</v>
      </c>
      <c r="AX277" s="116">
        <f t="shared" si="483"/>
        <v>161.39050932835403</v>
      </c>
      <c r="AY277" s="97">
        <f t="shared" si="489"/>
        <v>13.192679325213856</v>
      </c>
    </row>
    <row r="278" spans="2:51" x14ac:dyDescent="0.35">
      <c r="B278" s="7" t="s">
        <v>139</v>
      </c>
      <c r="C278" s="14">
        <v>0.18</v>
      </c>
      <c r="D278" s="9"/>
      <c r="E278" s="9">
        <f>GFA!D279</f>
        <v>0.54402113064685087</v>
      </c>
      <c r="F278" s="9">
        <f>GFA!F279</f>
        <v>0</v>
      </c>
      <c r="G278" s="97">
        <f t="shared" si="461"/>
        <v>0.48961901758216581</v>
      </c>
      <c r="H278" s="9">
        <v>0</v>
      </c>
      <c r="I278" s="115">
        <f t="shared" si="462"/>
        <v>0</v>
      </c>
      <c r="J278" s="116">
        <f t="shared" si="463"/>
        <v>0.48961901758216581</v>
      </c>
      <c r="K278" s="97">
        <f t="shared" si="484"/>
        <v>9.792380351643315E-2</v>
      </c>
      <c r="L278" s="9"/>
      <c r="M278" s="9">
        <f>GFA!L279</f>
        <v>0.54402113064685087</v>
      </c>
      <c r="N278" s="9">
        <f>GFA!N279</f>
        <v>0</v>
      </c>
      <c r="O278" s="97">
        <f t="shared" si="464"/>
        <v>0.48961901758216581</v>
      </c>
      <c r="P278" s="9">
        <f t="shared" si="465"/>
        <v>9.792380351643315E-2</v>
      </c>
      <c r="Q278" s="115">
        <f t="shared" si="466"/>
        <v>0.19999999999999998</v>
      </c>
      <c r="R278" s="116">
        <f t="shared" si="467"/>
        <v>0.39169521406573266</v>
      </c>
      <c r="S278" s="97">
        <f t="shared" si="485"/>
        <v>9.792380351643315E-2</v>
      </c>
      <c r="T278" s="9"/>
      <c r="U278" s="9">
        <f>GFA!T279</f>
        <v>0.54402113064685087</v>
      </c>
      <c r="V278" s="9">
        <f>GFA!V279</f>
        <v>0</v>
      </c>
      <c r="W278" s="97">
        <f t="shared" si="468"/>
        <v>0.48961901758216581</v>
      </c>
      <c r="X278" s="9">
        <f t="shared" si="469"/>
        <v>0.1958476070328663</v>
      </c>
      <c r="Y278" s="115">
        <f t="shared" si="470"/>
        <v>0.39999999999999997</v>
      </c>
      <c r="Z278" s="116">
        <f t="shared" si="471"/>
        <v>0.29377141054929951</v>
      </c>
      <c r="AA278" s="97">
        <f t="shared" si="486"/>
        <v>9.792380351643315E-2</v>
      </c>
      <c r="AB278" s="9"/>
      <c r="AC278" s="9">
        <f>GFA!AB279</f>
        <v>0.54402113064685087</v>
      </c>
      <c r="AD278" s="9">
        <f>GFA!AD279</f>
        <v>0</v>
      </c>
      <c r="AE278" s="97">
        <f t="shared" si="472"/>
        <v>0.48961901758216581</v>
      </c>
      <c r="AF278" s="9">
        <f t="shared" si="473"/>
        <v>0.29377141054929945</v>
      </c>
      <c r="AG278" s="115">
        <f t="shared" si="474"/>
        <v>0.6</v>
      </c>
      <c r="AH278" s="116">
        <f t="shared" si="475"/>
        <v>0.19584760703286636</v>
      </c>
      <c r="AI278" s="97">
        <f t="shared" si="487"/>
        <v>9.792380351643315E-2</v>
      </c>
      <c r="AJ278" s="9"/>
      <c r="AK278" s="9">
        <f>GFA!AJ279</f>
        <v>0.54402113064685087</v>
      </c>
      <c r="AL278" s="9">
        <f>GFA!AL279</f>
        <v>0</v>
      </c>
      <c r="AM278" s="97">
        <f t="shared" si="476"/>
        <v>0.48961901758216581</v>
      </c>
      <c r="AN278" s="9">
        <f t="shared" si="477"/>
        <v>0.3916952140657326</v>
      </c>
      <c r="AO278" s="115">
        <f t="shared" si="478"/>
        <v>0.79999999999999993</v>
      </c>
      <c r="AP278" s="116">
        <f t="shared" si="479"/>
        <v>9.7923803516433205E-2</v>
      </c>
      <c r="AQ278" s="97">
        <f t="shared" si="488"/>
        <v>4.8961901758216603E-2</v>
      </c>
      <c r="AR278" s="9"/>
      <c r="AS278" s="9">
        <f>GFA!AR279</f>
        <v>0.54402113064685087</v>
      </c>
      <c r="AT278" s="9">
        <f>GFA!AT279</f>
        <v>0</v>
      </c>
      <c r="AU278" s="97">
        <f t="shared" si="480"/>
        <v>0.48961901758216581</v>
      </c>
      <c r="AV278" s="9">
        <f t="shared" si="481"/>
        <v>0.44065711582394917</v>
      </c>
      <c r="AW278" s="115">
        <f t="shared" si="482"/>
        <v>0.89999999999999991</v>
      </c>
      <c r="AX278" s="116">
        <f t="shared" si="483"/>
        <v>4.896190175821663E-2</v>
      </c>
      <c r="AY278" s="97">
        <f t="shared" si="489"/>
        <v>4.896190175821663E-2</v>
      </c>
    </row>
    <row r="279" spans="2:51" x14ac:dyDescent="0.35">
      <c r="B279" s="7" t="s">
        <v>140</v>
      </c>
      <c r="C279" s="14">
        <v>5.28E-2</v>
      </c>
      <c r="D279" s="9"/>
      <c r="E279" s="9">
        <f>GFA!D280</f>
        <v>0</v>
      </c>
      <c r="F279" s="9">
        <f>GFA!F280</f>
        <v>0</v>
      </c>
      <c r="G279" s="97">
        <f t="shared" si="461"/>
        <v>0</v>
      </c>
      <c r="H279" s="9">
        <v>0</v>
      </c>
      <c r="I279" s="115">
        <f t="shared" si="462"/>
        <v>0</v>
      </c>
      <c r="J279" s="116">
        <f t="shared" si="463"/>
        <v>0</v>
      </c>
      <c r="K279" s="97">
        <f t="shared" si="484"/>
        <v>0</v>
      </c>
      <c r="L279" s="9"/>
      <c r="M279" s="9">
        <f>GFA!L280</f>
        <v>0</v>
      </c>
      <c r="N279" s="9">
        <f>GFA!N280</f>
        <v>0</v>
      </c>
      <c r="O279" s="97">
        <f t="shared" si="464"/>
        <v>0</v>
      </c>
      <c r="P279" s="9">
        <f t="shared" si="465"/>
        <v>0</v>
      </c>
      <c r="Q279" s="115">
        <f t="shared" si="466"/>
        <v>0</v>
      </c>
      <c r="R279" s="116">
        <f t="shared" si="467"/>
        <v>0</v>
      </c>
      <c r="S279" s="97">
        <f t="shared" si="485"/>
        <v>0</v>
      </c>
      <c r="T279" s="9"/>
      <c r="U279" s="9">
        <f>GFA!T280</f>
        <v>0</v>
      </c>
      <c r="V279" s="9">
        <f>GFA!V280</f>
        <v>0</v>
      </c>
      <c r="W279" s="97">
        <f t="shared" si="468"/>
        <v>0</v>
      </c>
      <c r="X279" s="9">
        <f t="shared" si="469"/>
        <v>0</v>
      </c>
      <c r="Y279" s="115">
        <f t="shared" si="470"/>
        <v>0</v>
      </c>
      <c r="Z279" s="116">
        <f t="shared" si="471"/>
        <v>0</v>
      </c>
      <c r="AA279" s="97">
        <f t="shared" si="486"/>
        <v>0</v>
      </c>
      <c r="AB279" s="9"/>
      <c r="AC279" s="9">
        <f>GFA!AB280</f>
        <v>0</v>
      </c>
      <c r="AD279" s="9">
        <f>GFA!AD280</f>
        <v>0</v>
      </c>
      <c r="AE279" s="97">
        <f t="shared" si="472"/>
        <v>0</v>
      </c>
      <c r="AF279" s="9">
        <f t="shared" si="473"/>
        <v>0</v>
      </c>
      <c r="AG279" s="115">
        <f t="shared" si="474"/>
        <v>0</v>
      </c>
      <c r="AH279" s="116">
        <f t="shared" si="475"/>
        <v>0</v>
      </c>
      <c r="AI279" s="97">
        <f t="shared" si="487"/>
        <v>0</v>
      </c>
      <c r="AJ279" s="9"/>
      <c r="AK279" s="9">
        <f>GFA!AJ280</f>
        <v>0</v>
      </c>
      <c r="AL279" s="9">
        <f>GFA!AL280</f>
        <v>0</v>
      </c>
      <c r="AM279" s="97">
        <f t="shared" si="476"/>
        <v>0</v>
      </c>
      <c r="AN279" s="9">
        <f t="shared" si="477"/>
        <v>0</v>
      </c>
      <c r="AO279" s="115">
        <f t="shared" si="478"/>
        <v>0</v>
      </c>
      <c r="AP279" s="116">
        <f t="shared" si="479"/>
        <v>0</v>
      </c>
      <c r="AQ279" s="97">
        <f t="shared" si="488"/>
        <v>0</v>
      </c>
      <c r="AR279" s="9"/>
      <c r="AS279" s="9">
        <f>GFA!AR280</f>
        <v>0</v>
      </c>
      <c r="AT279" s="9">
        <f>GFA!AT280</f>
        <v>0</v>
      </c>
      <c r="AU279" s="97">
        <f t="shared" si="480"/>
        <v>0</v>
      </c>
      <c r="AV279" s="9">
        <f t="shared" si="481"/>
        <v>0</v>
      </c>
      <c r="AW279" s="115">
        <f t="shared" si="482"/>
        <v>0</v>
      </c>
      <c r="AX279" s="116">
        <f t="shared" si="483"/>
        <v>0</v>
      </c>
      <c r="AY279" s="97">
        <f t="shared" si="489"/>
        <v>0</v>
      </c>
    </row>
    <row r="280" spans="2:51" x14ac:dyDescent="0.35">
      <c r="B280" s="7" t="s">
        <v>141</v>
      </c>
      <c r="C280" s="14">
        <v>5.28E-2</v>
      </c>
      <c r="D280" s="9"/>
      <c r="E280" s="9">
        <f>GFA!D281</f>
        <v>8.7835554063562427</v>
      </c>
      <c r="F280" s="9">
        <f>GFA!F281</f>
        <v>0</v>
      </c>
      <c r="G280" s="97">
        <f t="shared" si="461"/>
        <v>7.9051998657206184</v>
      </c>
      <c r="H280" s="9">
        <v>2.6367122037214377</v>
      </c>
      <c r="I280" s="115">
        <f t="shared" si="462"/>
        <v>0.33354149781272879</v>
      </c>
      <c r="J280" s="116">
        <f t="shared" si="463"/>
        <v>5.2684876619991812</v>
      </c>
      <c r="K280" s="97">
        <f t="shared" si="484"/>
        <v>0.46377172545560963</v>
      </c>
      <c r="L280" s="9"/>
      <c r="M280" s="9">
        <f>GFA!L281</f>
        <v>8.7835554063562427</v>
      </c>
      <c r="N280" s="9">
        <f>GFA!N281</f>
        <v>0</v>
      </c>
      <c r="O280" s="97">
        <f t="shared" si="464"/>
        <v>7.9051998657206184</v>
      </c>
      <c r="P280" s="9">
        <f t="shared" si="465"/>
        <v>3.1004839291770474</v>
      </c>
      <c r="Q280" s="115">
        <f t="shared" si="466"/>
        <v>0.39220816447939549</v>
      </c>
      <c r="R280" s="116">
        <f t="shared" si="467"/>
        <v>4.8047159365435714</v>
      </c>
      <c r="S280" s="97">
        <f t="shared" si="485"/>
        <v>0.46377172545560963</v>
      </c>
      <c r="T280" s="9"/>
      <c r="U280" s="9">
        <f>GFA!T281</f>
        <v>8.7835554063562427</v>
      </c>
      <c r="V280" s="9">
        <f>GFA!V281</f>
        <v>0</v>
      </c>
      <c r="W280" s="97">
        <f t="shared" si="468"/>
        <v>7.9051998657206184</v>
      </c>
      <c r="X280" s="9">
        <f t="shared" si="469"/>
        <v>3.5642556546326571</v>
      </c>
      <c r="Y280" s="115">
        <f t="shared" si="470"/>
        <v>0.45087483114606219</v>
      </c>
      <c r="Z280" s="116">
        <f t="shared" si="471"/>
        <v>4.3409442110879617</v>
      </c>
      <c r="AA280" s="97">
        <f t="shared" si="486"/>
        <v>0.46377172545560963</v>
      </c>
      <c r="AB280" s="9"/>
      <c r="AC280" s="9">
        <f>GFA!AB281</f>
        <v>8.7835554063562427</v>
      </c>
      <c r="AD280" s="9">
        <f>GFA!AD281</f>
        <v>0</v>
      </c>
      <c r="AE280" s="97">
        <f t="shared" si="472"/>
        <v>7.9051998657206184</v>
      </c>
      <c r="AF280" s="9">
        <f t="shared" si="473"/>
        <v>4.0280273800882664</v>
      </c>
      <c r="AG280" s="115">
        <f t="shared" si="474"/>
        <v>0.50954149781272884</v>
      </c>
      <c r="AH280" s="116">
        <f t="shared" si="475"/>
        <v>3.877172485632352</v>
      </c>
      <c r="AI280" s="97">
        <f t="shared" si="487"/>
        <v>0.46377172545560963</v>
      </c>
      <c r="AJ280" s="9"/>
      <c r="AK280" s="9">
        <f>GFA!AJ281</f>
        <v>8.7835554063562427</v>
      </c>
      <c r="AL280" s="9">
        <f>GFA!AL281</f>
        <v>0</v>
      </c>
      <c r="AM280" s="97">
        <f t="shared" si="476"/>
        <v>7.9051998657206184</v>
      </c>
      <c r="AN280" s="9">
        <f t="shared" si="477"/>
        <v>4.4917991055438762</v>
      </c>
      <c r="AO280" s="115">
        <f t="shared" si="478"/>
        <v>0.56820816447939548</v>
      </c>
      <c r="AP280" s="116">
        <f t="shared" si="479"/>
        <v>3.4134007601767422</v>
      </c>
      <c r="AQ280" s="97">
        <f t="shared" si="488"/>
        <v>0.46377172545560963</v>
      </c>
      <c r="AR280" s="9"/>
      <c r="AS280" s="9">
        <f>GFA!AR281</f>
        <v>8.7835554063562427</v>
      </c>
      <c r="AT280" s="9">
        <f>GFA!AT281</f>
        <v>0</v>
      </c>
      <c r="AU280" s="97">
        <f t="shared" si="480"/>
        <v>7.9051998657206184</v>
      </c>
      <c r="AV280" s="9">
        <f t="shared" si="481"/>
        <v>4.9555708309994859</v>
      </c>
      <c r="AW280" s="115">
        <f t="shared" si="482"/>
        <v>0.62687483114606213</v>
      </c>
      <c r="AX280" s="116">
        <f t="shared" si="483"/>
        <v>2.9496290347211325</v>
      </c>
      <c r="AY280" s="97">
        <f t="shared" si="489"/>
        <v>0.46377172545560963</v>
      </c>
    </row>
    <row r="281" spans="2:51" x14ac:dyDescent="0.35">
      <c r="B281" s="7" t="s">
        <v>142</v>
      </c>
      <c r="C281" s="14">
        <v>9.5000000000000001E-2</v>
      </c>
      <c r="D281" s="9"/>
      <c r="E281" s="9">
        <f>GFA!D282</f>
        <v>3.8584223937857942</v>
      </c>
      <c r="F281" s="9">
        <f>GFA!F282</f>
        <v>0.14338885740249566</v>
      </c>
      <c r="G281" s="97">
        <f t="shared" si="461"/>
        <v>3.6016301260694608</v>
      </c>
      <c r="H281" s="9">
        <v>2.9643306212529819</v>
      </c>
      <c r="I281" s="115">
        <f t="shared" si="462"/>
        <v>0.82305248387291285</v>
      </c>
      <c r="J281" s="116">
        <f t="shared" si="463"/>
        <v>0.6372995048164789</v>
      </c>
      <c r="K281" s="97">
        <f t="shared" si="484"/>
        <v>0.15932487620411973</v>
      </c>
      <c r="L281" s="9"/>
      <c r="M281" s="9">
        <f>GFA!L282</f>
        <v>3.5742383511882898</v>
      </c>
      <c r="N281" s="9">
        <f>GFA!N282</f>
        <v>0.48128576833010162</v>
      </c>
      <c r="O281" s="97">
        <f t="shared" si="464"/>
        <v>3.6499717075665528</v>
      </c>
      <c r="P281" s="9">
        <f t="shared" si="465"/>
        <v>3.1236554974571016</v>
      </c>
      <c r="Q281" s="115">
        <f t="shared" si="466"/>
        <v>0.85580266032792129</v>
      </c>
      <c r="R281" s="116">
        <f t="shared" si="467"/>
        <v>0.52631621010945118</v>
      </c>
      <c r="S281" s="97">
        <f t="shared" si="485"/>
        <v>0.10526324202189023</v>
      </c>
      <c r="T281" s="9"/>
      <c r="U281" s="9">
        <f>GFA!T282</f>
        <v>4.0555241195183918</v>
      </c>
      <c r="V281" s="9">
        <f>GFA!V282</f>
        <v>0</v>
      </c>
      <c r="W281" s="97">
        <f t="shared" si="468"/>
        <v>3.6499717075665528</v>
      </c>
      <c r="X281" s="9">
        <f t="shared" si="469"/>
        <v>3.228918739478992</v>
      </c>
      <c r="Y281" s="115">
        <f t="shared" si="470"/>
        <v>0.88464212826233712</v>
      </c>
      <c r="Z281" s="116">
        <f t="shared" si="471"/>
        <v>0.42105296808756076</v>
      </c>
      <c r="AA281" s="97">
        <f t="shared" si="486"/>
        <v>0.10526324202189019</v>
      </c>
      <c r="AB281" s="9"/>
      <c r="AC281" s="9">
        <f>GFA!AB282</f>
        <v>4.0555241195183918</v>
      </c>
      <c r="AD281" s="9">
        <f>GFA!AD282</f>
        <v>0</v>
      </c>
      <c r="AE281" s="97">
        <f t="shared" si="472"/>
        <v>3.6499717075665528</v>
      </c>
      <c r="AF281" s="9">
        <f t="shared" si="473"/>
        <v>3.3341819815008824</v>
      </c>
      <c r="AG281" s="115">
        <f t="shared" si="474"/>
        <v>0.91348159619675295</v>
      </c>
      <c r="AH281" s="116">
        <f t="shared" si="475"/>
        <v>0.31578972606567035</v>
      </c>
      <c r="AI281" s="97">
        <f t="shared" si="487"/>
        <v>0.10526324202189012</v>
      </c>
      <c r="AJ281" s="9"/>
      <c r="AK281" s="9">
        <f>GFA!AJ282</f>
        <v>4.0555241195183918</v>
      </c>
      <c r="AL281" s="9">
        <f>GFA!AL282</f>
        <v>0</v>
      </c>
      <c r="AM281" s="97">
        <f t="shared" si="476"/>
        <v>3.6499717075665528</v>
      </c>
      <c r="AN281" s="9">
        <f t="shared" si="477"/>
        <v>3.4394452235227724</v>
      </c>
      <c r="AO281" s="115">
        <f t="shared" si="478"/>
        <v>0.94232106413116856</v>
      </c>
      <c r="AP281" s="116">
        <f t="shared" si="479"/>
        <v>0.21052648404378038</v>
      </c>
      <c r="AQ281" s="97">
        <f t="shared" si="488"/>
        <v>0.10526324202189019</v>
      </c>
      <c r="AR281" s="9"/>
      <c r="AS281" s="9">
        <f>GFA!AR282</f>
        <v>4.0555241195183918</v>
      </c>
      <c r="AT281" s="9">
        <f>GFA!AT282</f>
        <v>0</v>
      </c>
      <c r="AU281" s="97">
        <f t="shared" si="480"/>
        <v>3.6499717075665528</v>
      </c>
      <c r="AV281" s="9">
        <f t="shared" si="481"/>
        <v>3.5447084655446623</v>
      </c>
      <c r="AW281" s="115">
        <f t="shared" si="482"/>
        <v>0.97116053206558417</v>
      </c>
      <c r="AX281" s="116">
        <f t="shared" si="483"/>
        <v>0.10526324202189041</v>
      </c>
      <c r="AY281" s="97">
        <f t="shared" si="489"/>
        <v>0.10526324202189041</v>
      </c>
    </row>
    <row r="282" spans="2:51" x14ac:dyDescent="0.35">
      <c r="B282" s="7" t="s">
        <v>143</v>
      </c>
      <c r="C282" s="14">
        <v>6.3299999999999995E-2</v>
      </c>
      <c r="D282" s="9"/>
      <c r="E282" s="9">
        <f>GFA!D283</f>
        <v>4.5168116140754915</v>
      </c>
      <c r="F282" s="9">
        <f>GFA!F283</f>
        <v>0.22769173613188426</v>
      </c>
      <c r="G282" s="97">
        <f t="shared" si="461"/>
        <v>4.2700530151866385</v>
      </c>
      <c r="H282" s="9">
        <v>3.3777907751183975</v>
      </c>
      <c r="I282" s="115">
        <f t="shared" si="462"/>
        <v>0.79104188240875006</v>
      </c>
      <c r="J282" s="116">
        <f t="shared" si="463"/>
        <v>0.89226224006824095</v>
      </c>
      <c r="K282" s="97">
        <f t="shared" si="484"/>
        <v>0.22306556001706024</v>
      </c>
      <c r="L282" s="9"/>
      <c r="M282" s="9">
        <f>GFA!L283</f>
        <v>4.7445033502073759</v>
      </c>
      <c r="N282" s="9">
        <f>GFA!N283</f>
        <v>1.51886968276238</v>
      </c>
      <c r="O282" s="97">
        <f t="shared" si="464"/>
        <v>5.6370357296727809</v>
      </c>
      <c r="P282" s="9">
        <f t="shared" si="465"/>
        <v>3.6008563351354579</v>
      </c>
      <c r="Q282" s="115">
        <f t="shared" si="466"/>
        <v>0.63878543756267459</v>
      </c>
      <c r="R282" s="116">
        <f t="shared" si="467"/>
        <v>2.036179394537323</v>
      </c>
      <c r="S282" s="97">
        <f t="shared" si="485"/>
        <v>0.34839928752755622</v>
      </c>
      <c r="T282" s="9"/>
      <c r="U282" s="9">
        <f>GFA!T283</f>
        <v>6.2633730329697563</v>
      </c>
      <c r="V282" s="9">
        <f>GFA!V283</f>
        <v>3.2663523665180216E-2</v>
      </c>
      <c r="W282" s="97">
        <f t="shared" si="468"/>
        <v>5.6664329009714427</v>
      </c>
      <c r="X282" s="9">
        <f t="shared" si="469"/>
        <v>3.949255622663014</v>
      </c>
      <c r="Y282" s="115">
        <f t="shared" si="470"/>
        <v>0.69695621419711173</v>
      </c>
      <c r="Z282" s="116">
        <f t="shared" si="471"/>
        <v>1.7171772783084287</v>
      </c>
      <c r="AA282" s="97">
        <f t="shared" si="486"/>
        <v>0.3975053135109885</v>
      </c>
      <c r="AB282" s="9"/>
      <c r="AC282" s="9">
        <f>GFA!AB283</f>
        <v>6.2960365566349363</v>
      </c>
      <c r="AD282" s="9">
        <f>GFA!AD283</f>
        <v>0</v>
      </c>
      <c r="AE282" s="97">
        <f t="shared" si="472"/>
        <v>5.6664329009714427</v>
      </c>
      <c r="AF282" s="9">
        <f t="shared" si="473"/>
        <v>4.3467609361740021</v>
      </c>
      <c r="AG282" s="115">
        <f t="shared" si="474"/>
        <v>0.76710710461758069</v>
      </c>
      <c r="AH282" s="116">
        <f t="shared" si="475"/>
        <v>1.3196719647974406</v>
      </c>
      <c r="AI282" s="97">
        <f t="shared" si="487"/>
        <v>0.4398906549324802</v>
      </c>
      <c r="AJ282" s="9"/>
      <c r="AK282" s="9">
        <f>GFA!AJ283</f>
        <v>6.2960365566349363</v>
      </c>
      <c r="AL282" s="9">
        <f>GFA!AL283</f>
        <v>0</v>
      </c>
      <c r="AM282" s="97">
        <f t="shared" si="476"/>
        <v>5.6664329009714427</v>
      </c>
      <c r="AN282" s="9">
        <f t="shared" si="477"/>
        <v>4.786651591106482</v>
      </c>
      <c r="AO282" s="115">
        <f t="shared" si="478"/>
        <v>0.84473806974505383</v>
      </c>
      <c r="AP282" s="116">
        <f t="shared" si="479"/>
        <v>0.87978130986496073</v>
      </c>
      <c r="AQ282" s="97">
        <f t="shared" si="488"/>
        <v>0.43989065493248036</v>
      </c>
      <c r="AR282" s="9"/>
      <c r="AS282" s="9">
        <f>GFA!AR283</f>
        <v>6.2960365566349363</v>
      </c>
      <c r="AT282" s="9">
        <f>GFA!AT283</f>
        <v>0</v>
      </c>
      <c r="AU282" s="97">
        <f t="shared" si="480"/>
        <v>5.6664329009714427</v>
      </c>
      <c r="AV282" s="9">
        <f t="shared" si="481"/>
        <v>5.2265422460389619</v>
      </c>
      <c r="AW282" s="115">
        <f t="shared" si="482"/>
        <v>0.92236903487252686</v>
      </c>
      <c r="AX282" s="116">
        <f t="shared" si="483"/>
        <v>0.43989065493248081</v>
      </c>
      <c r="AY282" s="97">
        <f t="shared" si="489"/>
        <v>0.43989065493248081</v>
      </c>
    </row>
    <row r="283" spans="2:51" x14ac:dyDescent="0.35">
      <c r="B283" s="7" t="s">
        <v>144</v>
      </c>
      <c r="C283" s="14">
        <v>6.3299999999999995E-2</v>
      </c>
      <c r="D283" s="9"/>
      <c r="E283" s="9">
        <f>GFA!D284</f>
        <v>3.5782544888978385</v>
      </c>
      <c r="F283" s="9">
        <f>GFA!F284</f>
        <v>0.32824370083695098</v>
      </c>
      <c r="G283" s="97">
        <f t="shared" si="461"/>
        <v>3.5158483707613106</v>
      </c>
      <c r="H283" s="9">
        <v>1.9016989818267986</v>
      </c>
      <c r="I283" s="115">
        <f t="shared" si="462"/>
        <v>0.54089334387734445</v>
      </c>
      <c r="J283" s="116">
        <f t="shared" si="463"/>
        <v>1.614149388934512</v>
      </c>
      <c r="K283" s="97">
        <f t="shared" si="484"/>
        <v>0.23689242227872265</v>
      </c>
      <c r="L283" s="9"/>
      <c r="M283" s="9">
        <f>GFA!L284</f>
        <v>3.9064981897347897</v>
      </c>
      <c r="N283" s="9">
        <f>GFA!N284</f>
        <v>0.40849164439599522</v>
      </c>
      <c r="O283" s="97">
        <f t="shared" si="464"/>
        <v>3.8834908507177062</v>
      </c>
      <c r="P283" s="9">
        <f t="shared" si="465"/>
        <v>2.1385914041055214</v>
      </c>
      <c r="Q283" s="115">
        <f t="shared" si="466"/>
        <v>0.55068789558504805</v>
      </c>
      <c r="R283" s="116">
        <f t="shared" si="467"/>
        <v>1.7448994466121848</v>
      </c>
      <c r="S283" s="97">
        <f t="shared" si="485"/>
        <v>0.26021009595534544</v>
      </c>
      <c r="T283" s="9"/>
      <c r="U283" s="9">
        <f>GFA!T284</f>
        <v>4.3149898341307846</v>
      </c>
      <c r="V283" s="9">
        <f>GFA!V284</f>
        <v>1.0339114775572187</v>
      </c>
      <c r="W283" s="97">
        <f t="shared" si="468"/>
        <v>4.814011180519203</v>
      </c>
      <c r="X283" s="9">
        <f t="shared" si="469"/>
        <v>2.3988015000608667</v>
      </c>
      <c r="Y283" s="115">
        <f t="shared" si="470"/>
        <v>0.49829578912655331</v>
      </c>
      <c r="Z283" s="116">
        <f t="shared" si="471"/>
        <v>2.4152096804583363</v>
      </c>
      <c r="AA283" s="97">
        <f t="shared" si="486"/>
        <v>0.3058621547651646</v>
      </c>
      <c r="AB283" s="9"/>
      <c r="AC283" s="9">
        <f>GFA!AB284</f>
        <v>5.3489013116880031</v>
      </c>
      <c r="AD283" s="9">
        <f>GFA!AD284</f>
        <v>0</v>
      </c>
      <c r="AE283" s="97">
        <f t="shared" si="472"/>
        <v>4.814011180519203</v>
      </c>
      <c r="AF283" s="9">
        <f t="shared" si="473"/>
        <v>2.7046636548260312</v>
      </c>
      <c r="AG283" s="115">
        <f t="shared" si="474"/>
        <v>0.56183161056437902</v>
      </c>
      <c r="AH283" s="116">
        <f t="shared" si="475"/>
        <v>2.1093475256931717</v>
      </c>
      <c r="AI283" s="97">
        <f t="shared" si="487"/>
        <v>0.33858545302985055</v>
      </c>
      <c r="AJ283" s="9"/>
      <c r="AK283" s="9">
        <f>GFA!AJ284</f>
        <v>5.3489013116880031</v>
      </c>
      <c r="AL283" s="9">
        <f>GFA!AL284</f>
        <v>0</v>
      </c>
      <c r="AM283" s="97">
        <f t="shared" si="476"/>
        <v>4.814011180519203</v>
      </c>
      <c r="AN283" s="9">
        <f t="shared" si="477"/>
        <v>3.0432491078558819</v>
      </c>
      <c r="AO283" s="115">
        <f t="shared" si="478"/>
        <v>0.63216494389771238</v>
      </c>
      <c r="AP283" s="116">
        <f t="shared" si="479"/>
        <v>1.7707620726633211</v>
      </c>
      <c r="AQ283" s="97">
        <f t="shared" si="488"/>
        <v>0.33858545302985055</v>
      </c>
      <c r="AR283" s="9"/>
      <c r="AS283" s="9">
        <f>GFA!AR284</f>
        <v>5.3489013116880031</v>
      </c>
      <c r="AT283" s="9">
        <f>GFA!AT284</f>
        <v>0</v>
      </c>
      <c r="AU283" s="97">
        <f t="shared" si="480"/>
        <v>4.814011180519203</v>
      </c>
      <c r="AV283" s="9">
        <f t="shared" si="481"/>
        <v>3.3818345608857325</v>
      </c>
      <c r="AW283" s="115">
        <f t="shared" si="482"/>
        <v>0.70249827723104563</v>
      </c>
      <c r="AX283" s="116">
        <f t="shared" si="483"/>
        <v>1.4321766196334704</v>
      </c>
      <c r="AY283" s="97">
        <f t="shared" si="489"/>
        <v>1.4321766196334704</v>
      </c>
    </row>
    <row r="284" spans="2:51" x14ac:dyDescent="0.35">
      <c r="B284" s="7" t="s">
        <v>145</v>
      </c>
      <c r="C284" s="14">
        <v>6.3299999999999995E-2</v>
      </c>
      <c r="D284" s="9"/>
      <c r="E284" s="9">
        <f>GFA!D285</f>
        <v>0</v>
      </c>
      <c r="F284" s="9">
        <f>GFA!F285</f>
        <v>0</v>
      </c>
      <c r="G284" s="97">
        <f t="shared" si="461"/>
        <v>0</v>
      </c>
      <c r="H284" s="9">
        <v>0</v>
      </c>
      <c r="I284" s="115">
        <f t="shared" si="462"/>
        <v>0</v>
      </c>
      <c r="J284" s="116">
        <f t="shared" si="463"/>
        <v>0</v>
      </c>
      <c r="K284" s="97">
        <f t="shared" si="484"/>
        <v>0</v>
      </c>
      <c r="L284" s="9"/>
      <c r="M284" s="9">
        <f>GFA!L285</f>
        <v>0</v>
      </c>
      <c r="N284" s="9">
        <f>GFA!N285</f>
        <v>0</v>
      </c>
      <c r="O284" s="97">
        <f t="shared" si="464"/>
        <v>0</v>
      </c>
      <c r="P284" s="9">
        <f t="shared" si="465"/>
        <v>0</v>
      </c>
      <c r="Q284" s="115">
        <f t="shared" si="466"/>
        <v>0</v>
      </c>
      <c r="R284" s="116">
        <f t="shared" si="467"/>
        <v>0</v>
      </c>
      <c r="S284" s="97">
        <f t="shared" si="485"/>
        <v>0</v>
      </c>
      <c r="T284" s="9"/>
      <c r="U284" s="9">
        <f>GFA!T285</f>
        <v>0</v>
      </c>
      <c r="V284" s="9">
        <f>GFA!V285</f>
        <v>0</v>
      </c>
      <c r="W284" s="97">
        <f t="shared" si="468"/>
        <v>0</v>
      </c>
      <c r="X284" s="9">
        <f t="shared" si="469"/>
        <v>0</v>
      </c>
      <c r="Y284" s="115">
        <f t="shared" si="470"/>
        <v>0</v>
      </c>
      <c r="Z284" s="116">
        <f t="shared" si="471"/>
        <v>0</v>
      </c>
      <c r="AA284" s="97">
        <f t="shared" si="486"/>
        <v>0</v>
      </c>
      <c r="AB284" s="9"/>
      <c r="AC284" s="9">
        <f>GFA!AB285</f>
        <v>0</v>
      </c>
      <c r="AD284" s="9">
        <f>GFA!AD285</f>
        <v>0</v>
      </c>
      <c r="AE284" s="97">
        <f t="shared" si="472"/>
        <v>0</v>
      </c>
      <c r="AF284" s="9">
        <f t="shared" si="473"/>
        <v>0</v>
      </c>
      <c r="AG284" s="115">
        <f t="shared" si="474"/>
        <v>0</v>
      </c>
      <c r="AH284" s="116">
        <f t="shared" si="475"/>
        <v>0</v>
      </c>
      <c r="AI284" s="97">
        <f t="shared" si="487"/>
        <v>0</v>
      </c>
      <c r="AJ284" s="9"/>
      <c r="AK284" s="9">
        <f>GFA!AJ285</f>
        <v>0</v>
      </c>
      <c r="AL284" s="9">
        <f>GFA!AL285</f>
        <v>0</v>
      </c>
      <c r="AM284" s="97">
        <f t="shared" si="476"/>
        <v>0</v>
      </c>
      <c r="AN284" s="9">
        <f t="shared" si="477"/>
        <v>0</v>
      </c>
      <c r="AO284" s="115">
        <f t="shared" si="478"/>
        <v>0</v>
      </c>
      <c r="AP284" s="116">
        <f t="shared" si="479"/>
        <v>0</v>
      </c>
      <c r="AQ284" s="97">
        <f t="shared" si="488"/>
        <v>0</v>
      </c>
      <c r="AR284" s="9"/>
      <c r="AS284" s="9">
        <f>GFA!AR285</f>
        <v>0</v>
      </c>
      <c r="AT284" s="9">
        <f>GFA!AT285</f>
        <v>0</v>
      </c>
      <c r="AU284" s="97">
        <f t="shared" si="480"/>
        <v>0</v>
      </c>
      <c r="AV284" s="9">
        <f t="shared" si="481"/>
        <v>0</v>
      </c>
      <c r="AW284" s="115">
        <f t="shared" si="482"/>
        <v>0</v>
      </c>
      <c r="AX284" s="116">
        <f t="shared" si="483"/>
        <v>0</v>
      </c>
      <c r="AY284" s="97">
        <f t="shared" si="489"/>
        <v>0</v>
      </c>
    </row>
    <row r="285" spans="2:51" x14ac:dyDescent="0.35">
      <c r="B285" s="7" t="s">
        <v>146</v>
      </c>
      <c r="C285" s="14">
        <v>0.15</v>
      </c>
      <c r="D285" s="9"/>
      <c r="E285" s="9">
        <f>GFA!D286</f>
        <v>0</v>
      </c>
      <c r="F285" s="9">
        <f>GFA!F286</f>
        <v>0</v>
      </c>
      <c r="G285" s="97">
        <f t="shared" si="461"/>
        <v>0</v>
      </c>
      <c r="H285" s="9">
        <v>0</v>
      </c>
      <c r="I285" s="115">
        <f t="shared" si="462"/>
        <v>0</v>
      </c>
      <c r="J285" s="116">
        <f t="shared" si="463"/>
        <v>0</v>
      </c>
      <c r="K285" s="97">
        <f t="shared" si="484"/>
        <v>0</v>
      </c>
      <c r="L285" s="9"/>
      <c r="M285" s="9">
        <f>GFA!L286</f>
        <v>0</v>
      </c>
      <c r="N285" s="9">
        <f>GFA!N286</f>
        <v>0</v>
      </c>
      <c r="O285" s="97">
        <f t="shared" si="464"/>
        <v>0</v>
      </c>
      <c r="P285" s="9">
        <f t="shared" si="465"/>
        <v>0</v>
      </c>
      <c r="Q285" s="115">
        <f t="shared" si="466"/>
        <v>0</v>
      </c>
      <c r="R285" s="116">
        <f t="shared" si="467"/>
        <v>0</v>
      </c>
      <c r="S285" s="97">
        <f t="shared" si="485"/>
        <v>0</v>
      </c>
      <c r="T285" s="9"/>
      <c r="U285" s="9">
        <f>GFA!T286</f>
        <v>0</v>
      </c>
      <c r="V285" s="9">
        <f>GFA!V286</f>
        <v>0</v>
      </c>
      <c r="W285" s="97">
        <f t="shared" si="468"/>
        <v>0</v>
      </c>
      <c r="X285" s="9">
        <f t="shared" si="469"/>
        <v>0</v>
      </c>
      <c r="Y285" s="115">
        <f t="shared" si="470"/>
        <v>0</v>
      </c>
      <c r="Z285" s="116">
        <f t="shared" si="471"/>
        <v>0</v>
      </c>
      <c r="AA285" s="97">
        <f t="shared" si="486"/>
        <v>0</v>
      </c>
      <c r="AB285" s="9"/>
      <c r="AC285" s="9">
        <f>GFA!AB286</f>
        <v>0</v>
      </c>
      <c r="AD285" s="9">
        <f>GFA!AD286</f>
        <v>0</v>
      </c>
      <c r="AE285" s="97">
        <f t="shared" si="472"/>
        <v>0</v>
      </c>
      <c r="AF285" s="9">
        <f t="shared" si="473"/>
        <v>0</v>
      </c>
      <c r="AG285" s="115">
        <f t="shared" si="474"/>
        <v>0</v>
      </c>
      <c r="AH285" s="116">
        <f t="shared" si="475"/>
        <v>0</v>
      </c>
      <c r="AI285" s="97">
        <f t="shared" si="487"/>
        <v>0</v>
      </c>
      <c r="AJ285" s="9"/>
      <c r="AK285" s="9">
        <f>GFA!AJ286</f>
        <v>0</v>
      </c>
      <c r="AL285" s="9">
        <f>GFA!AL286</f>
        <v>0</v>
      </c>
      <c r="AM285" s="97">
        <f t="shared" si="476"/>
        <v>0</v>
      </c>
      <c r="AN285" s="9">
        <f t="shared" si="477"/>
        <v>0</v>
      </c>
      <c r="AO285" s="115">
        <f t="shared" si="478"/>
        <v>0</v>
      </c>
      <c r="AP285" s="116">
        <f t="shared" si="479"/>
        <v>0</v>
      </c>
      <c r="AQ285" s="97">
        <f t="shared" si="488"/>
        <v>0</v>
      </c>
      <c r="AR285" s="9"/>
      <c r="AS285" s="9">
        <f>GFA!AR286</f>
        <v>0</v>
      </c>
      <c r="AT285" s="9">
        <f>GFA!AT286</f>
        <v>0</v>
      </c>
      <c r="AU285" s="97">
        <f t="shared" si="480"/>
        <v>0</v>
      </c>
      <c r="AV285" s="9">
        <f t="shared" si="481"/>
        <v>0</v>
      </c>
      <c r="AW285" s="115">
        <f t="shared" si="482"/>
        <v>0</v>
      </c>
      <c r="AX285" s="116">
        <f t="shared" si="483"/>
        <v>0</v>
      </c>
      <c r="AY285" s="97">
        <f t="shared" si="489"/>
        <v>0</v>
      </c>
    </row>
    <row r="286" spans="2:51" x14ac:dyDescent="0.35">
      <c r="B286" s="7" t="s">
        <v>147</v>
      </c>
      <c r="C286" s="14">
        <v>0.3</v>
      </c>
      <c r="D286" s="9"/>
      <c r="E286" s="9">
        <f>GFA!D287</f>
        <v>0</v>
      </c>
      <c r="F286" s="9">
        <f>GFA!F287</f>
        <v>0</v>
      </c>
      <c r="G286" s="97">
        <f t="shared" si="461"/>
        <v>0</v>
      </c>
      <c r="H286" s="9">
        <v>0</v>
      </c>
      <c r="I286" s="115">
        <f t="shared" si="462"/>
        <v>0</v>
      </c>
      <c r="J286" s="116">
        <f t="shared" si="463"/>
        <v>0</v>
      </c>
      <c r="K286" s="97">
        <f t="shared" si="484"/>
        <v>0</v>
      </c>
      <c r="L286" s="9"/>
      <c r="M286" s="9">
        <f>GFA!L287</f>
        <v>0</v>
      </c>
      <c r="N286" s="9">
        <f>GFA!N287</f>
        <v>0</v>
      </c>
      <c r="O286" s="97">
        <f t="shared" si="464"/>
        <v>0</v>
      </c>
      <c r="P286" s="9">
        <f t="shared" si="465"/>
        <v>0</v>
      </c>
      <c r="Q286" s="115">
        <f t="shared" si="466"/>
        <v>0</v>
      </c>
      <c r="R286" s="116">
        <f t="shared" si="467"/>
        <v>0</v>
      </c>
      <c r="S286" s="97">
        <f t="shared" si="485"/>
        <v>0</v>
      </c>
      <c r="T286" s="9"/>
      <c r="U286" s="9">
        <f>GFA!T287</f>
        <v>0</v>
      </c>
      <c r="V286" s="9">
        <f>GFA!V287</f>
        <v>0</v>
      </c>
      <c r="W286" s="97">
        <f t="shared" si="468"/>
        <v>0</v>
      </c>
      <c r="X286" s="9">
        <f t="shared" si="469"/>
        <v>0</v>
      </c>
      <c r="Y286" s="115">
        <f t="shared" si="470"/>
        <v>0</v>
      </c>
      <c r="Z286" s="116">
        <f t="shared" si="471"/>
        <v>0</v>
      </c>
      <c r="AA286" s="97">
        <f t="shared" si="486"/>
        <v>0</v>
      </c>
      <c r="AB286" s="9"/>
      <c r="AC286" s="9">
        <f>GFA!AB287</f>
        <v>0</v>
      </c>
      <c r="AD286" s="9">
        <f>GFA!AD287</f>
        <v>0</v>
      </c>
      <c r="AE286" s="97">
        <f t="shared" si="472"/>
        <v>0</v>
      </c>
      <c r="AF286" s="9">
        <f t="shared" si="473"/>
        <v>0</v>
      </c>
      <c r="AG286" s="115">
        <f t="shared" si="474"/>
        <v>0</v>
      </c>
      <c r="AH286" s="116">
        <f t="shared" si="475"/>
        <v>0</v>
      </c>
      <c r="AI286" s="97">
        <f t="shared" si="487"/>
        <v>0</v>
      </c>
      <c r="AJ286" s="9"/>
      <c r="AK286" s="9">
        <f>GFA!AJ287</f>
        <v>0</v>
      </c>
      <c r="AL286" s="9">
        <f>GFA!AL287</f>
        <v>0</v>
      </c>
      <c r="AM286" s="97">
        <f t="shared" si="476"/>
        <v>0</v>
      </c>
      <c r="AN286" s="9">
        <f t="shared" si="477"/>
        <v>0</v>
      </c>
      <c r="AO286" s="115">
        <f t="shared" si="478"/>
        <v>0</v>
      </c>
      <c r="AP286" s="116">
        <f t="shared" si="479"/>
        <v>0</v>
      </c>
      <c r="AQ286" s="97">
        <f t="shared" si="488"/>
        <v>0</v>
      </c>
      <c r="AR286" s="9"/>
      <c r="AS286" s="9">
        <f>GFA!AR287</f>
        <v>0</v>
      </c>
      <c r="AT286" s="9">
        <f>GFA!AT287</f>
        <v>0</v>
      </c>
      <c r="AU286" s="97">
        <f t="shared" si="480"/>
        <v>0</v>
      </c>
      <c r="AV286" s="9">
        <f t="shared" si="481"/>
        <v>0</v>
      </c>
      <c r="AW286" s="115">
        <f t="shared" si="482"/>
        <v>0</v>
      </c>
      <c r="AX286" s="116">
        <f t="shared" si="483"/>
        <v>0</v>
      </c>
      <c r="AY286" s="97">
        <f t="shared" si="489"/>
        <v>0</v>
      </c>
    </row>
    <row r="287" spans="2:51" x14ac:dyDescent="0.35">
      <c r="B287" s="7" t="s">
        <v>148</v>
      </c>
      <c r="C287" s="14">
        <v>0.3</v>
      </c>
      <c r="D287" s="9"/>
      <c r="E287" s="9">
        <f>GFA!D288</f>
        <v>86.417194532576957</v>
      </c>
      <c r="F287" s="9">
        <f>GFA!F288</f>
        <v>0</v>
      </c>
      <c r="G287" s="97">
        <f t="shared" si="461"/>
        <v>77.775475079319264</v>
      </c>
      <c r="H287" s="9">
        <v>0</v>
      </c>
      <c r="I287" s="115">
        <f t="shared" si="462"/>
        <v>0</v>
      </c>
      <c r="J287" s="116">
        <f t="shared" si="463"/>
        <v>77.775475079319264</v>
      </c>
      <c r="K287" s="97">
        <f t="shared" si="484"/>
        <v>25.925158359773086</v>
      </c>
      <c r="L287" s="9"/>
      <c r="M287" s="9">
        <f>GFA!L288</f>
        <v>86.417194532576957</v>
      </c>
      <c r="N287" s="9">
        <f>GFA!N288</f>
        <v>0</v>
      </c>
      <c r="O287" s="97">
        <f t="shared" si="464"/>
        <v>77.775475079319264</v>
      </c>
      <c r="P287" s="9">
        <f t="shared" si="465"/>
        <v>25.925158359773086</v>
      </c>
      <c r="Q287" s="115">
        <f t="shared" si="466"/>
        <v>0.33333333333333331</v>
      </c>
      <c r="R287" s="116">
        <f t="shared" si="467"/>
        <v>51.850316719546178</v>
      </c>
      <c r="S287" s="97">
        <f t="shared" si="485"/>
        <v>25.925158359773086</v>
      </c>
      <c r="T287" s="9"/>
      <c r="U287" s="9">
        <f>GFA!T288</f>
        <v>86.417194532576957</v>
      </c>
      <c r="V287" s="9">
        <f>GFA!V288</f>
        <v>0</v>
      </c>
      <c r="W287" s="97">
        <f t="shared" si="468"/>
        <v>77.775475079319264</v>
      </c>
      <c r="X287" s="9">
        <f t="shared" si="469"/>
        <v>51.850316719546171</v>
      </c>
      <c r="Y287" s="115">
        <f t="shared" si="470"/>
        <v>0.66666666666666663</v>
      </c>
      <c r="Z287" s="116">
        <f t="shared" si="471"/>
        <v>25.925158359773093</v>
      </c>
      <c r="AA287" s="97">
        <f t="shared" si="486"/>
        <v>25.925158359773086</v>
      </c>
      <c r="AB287" s="9"/>
      <c r="AC287" s="9">
        <f>GFA!AB288</f>
        <v>86.417194532576957</v>
      </c>
      <c r="AD287" s="9">
        <f>GFA!AD288</f>
        <v>0</v>
      </c>
      <c r="AE287" s="97">
        <f t="shared" si="472"/>
        <v>77.775475079319264</v>
      </c>
      <c r="AF287" s="9">
        <f t="shared" si="473"/>
        <v>77.77547507931925</v>
      </c>
      <c r="AG287" s="115">
        <f t="shared" si="474"/>
        <v>0.99999999999999978</v>
      </c>
      <c r="AH287" s="116">
        <f t="shared" si="475"/>
        <v>1.4210854715202004E-14</v>
      </c>
      <c r="AI287" s="97">
        <f t="shared" si="487"/>
        <v>4.736951571734001E-15</v>
      </c>
      <c r="AJ287" s="9"/>
      <c r="AK287" s="9">
        <f>GFA!AJ288</f>
        <v>86.417194532576957</v>
      </c>
      <c r="AL287" s="9">
        <f>GFA!AL288</f>
        <v>0</v>
      </c>
      <c r="AM287" s="97">
        <f t="shared" si="476"/>
        <v>77.775475079319264</v>
      </c>
      <c r="AN287" s="9">
        <f t="shared" si="477"/>
        <v>77.77547507931925</v>
      </c>
      <c r="AO287" s="115">
        <f t="shared" si="478"/>
        <v>0.99999999999999978</v>
      </c>
      <c r="AP287" s="116">
        <f t="shared" si="479"/>
        <v>1.4210854715202004E-14</v>
      </c>
      <c r="AQ287" s="97">
        <f t="shared" si="488"/>
        <v>7.1054273576010019E-15</v>
      </c>
      <c r="AR287" s="9"/>
      <c r="AS287" s="9">
        <f>GFA!AR288</f>
        <v>86.417194532576957</v>
      </c>
      <c r="AT287" s="9">
        <f>GFA!AT288</f>
        <v>0</v>
      </c>
      <c r="AU287" s="97">
        <f t="shared" si="480"/>
        <v>77.775475079319264</v>
      </c>
      <c r="AV287" s="9">
        <f t="shared" si="481"/>
        <v>77.77547507931925</v>
      </c>
      <c r="AW287" s="115">
        <f t="shared" si="482"/>
        <v>0.99999999999999978</v>
      </c>
      <c r="AX287" s="116">
        <f t="shared" si="483"/>
        <v>1.4210854715202004E-14</v>
      </c>
      <c r="AY287" s="97">
        <f t="shared" si="489"/>
        <v>1.4210854715202004E-14</v>
      </c>
    </row>
    <row r="288" spans="2:51" ht="31" x14ac:dyDescent="0.35">
      <c r="B288" s="84" t="s">
        <v>149</v>
      </c>
      <c r="C288" s="117">
        <v>3.3399999999999999E-2</v>
      </c>
      <c r="D288" s="9"/>
      <c r="E288" s="9">
        <f>GFA!D289</f>
        <v>0</v>
      </c>
      <c r="F288" s="9">
        <f>GFA!F289</f>
        <v>0</v>
      </c>
      <c r="G288" s="97">
        <f t="shared" si="461"/>
        <v>0</v>
      </c>
      <c r="H288" s="9">
        <v>38.752378999763451</v>
      </c>
      <c r="I288" s="115">
        <f t="shared" si="462"/>
        <v>0</v>
      </c>
      <c r="J288" s="116">
        <f t="shared" si="463"/>
        <v>0</v>
      </c>
      <c r="K288" s="97">
        <f t="shared" si="484"/>
        <v>0</v>
      </c>
      <c r="L288" s="9"/>
      <c r="M288" s="9">
        <f>GFA!L289</f>
        <v>0</v>
      </c>
      <c r="N288" s="9">
        <f>GFA!N289</f>
        <v>0</v>
      </c>
      <c r="O288" s="97">
        <f t="shared" si="464"/>
        <v>0</v>
      </c>
      <c r="P288" s="9">
        <f t="shared" si="465"/>
        <v>38.752378999763451</v>
      </c>
      <c r="Q288" s="115">
        <f t="shared" si="466"/>
        <v>0</v>
      </c>
      <c r="R288" s="116">
        <f t="shared" si="467"/>
        <v>0</v>
      </c>
      <c r="S288" s="97">
        <f t="shared" si="485"/>
        <v>0</v>
      </c>
      <c r="T288" s="9"/>
      <c r="U288" s="9">
        <f>GFA!T289</f>
        <v>0</v>
      </c>
      <c r="V288" s="9">
        <f>GFA!V289</f>
        <v>0</v>
      </c>
      <c r="W288" s="97">
        <f t="shared" si="468"/>
        <v>0</v>
      </c>
      <c r="X288" s="9">
        <f t="shared" si="469"/>
        <v>38.752378999763451</v>
      </c>
      <c r="Y288" s="115">
        <f t="shared" si="470"/>
        <v>0</v>
      </c>
      <c r="Z288" s="116">
        <f t="shared" si="471"/>
        <v>0</v>
      </c>
      <c r="AA288" s="97">
        <f t="shared" si="486"/>
        <v>0</v>
      </c>
      <c r="AB288" s="9"/>
      <c r="AC288" s="9">
        <f>GFA!AB289</f>
        <v>0</v>
      </c>
      <c r="AD288" s="9">
        <f>GFA!AD289</f>
        <v>0</v>
      </c>
      <c r="AE288" s="97">
        <f t="shared" si="472"/>
        <v>0</v>
      </c>
      <c r="AF288" s="9">
        <f t="shared" si="473"/>
        <v>38.752378999763451</v>
      </c>
      <c r="AG288" s="115">
        <f t="shared" si="474"/>
        <v>0</v>
      </c>
      <c r="AH288" s="116">
        <f t="shared" si="475"/>
        <v>0</v>
      </c>
      <c r="AI288" s="97">
        <f t="shared" si="487"/>
        <v>0</v>
      </c>
      <c r="AJ288" s="9"/>
      <c r="AK288" s="9">
        <f>GFA!AJ289</f>
        <v>0</v>
      </c>
      <c r="AL288" s="9">
        <f>GFA!AL289</f>
        <v>0</v>
      </c>
      <c r="AM288" s="97">
        <f t="shared" si="476"/>
        <v>0</v>
      </c>
      <c r="AN288" s="9">
        <f t="shared" si="477"/>
        <v>38.752378999763451</v>
      </c>
      <c r="AO288" s="115">
        <f t="shared" si="478"/>
        <v>0</v>
      </c>
      <c r="AP288" s="116">
        <f t="shared" si="479"/>
        <v>0</v>
      </c>
      <c r="AQ288" s="97">
        <f t="shared" si="488"/>
        <v>0</v>
      </c>
      <c r="AR288" s="9"/>
      <c r="AS288" s="9">
        <f>GFA!AR289</f>
        <v>0</v>
      </c>
      <c r="AT288" s="9">
        <f>GFA!AT289</f>
        <v>0</v>
      </c>
      <c r="AU288" s="97">
        <f t="shared" si="480"/>
        <v>0</v>
      </c>
      <c r="AV288" s="9">
        <f t="shared" si="481"/>
        <v>38.752378999763451</v>
      </c>
      <c r="AW288" s="115">
        <f t="shared" si="482"/>
        <v>0</v>
      </c>
      <c r="AX288" s="116">
        <f t="shared" si="483"/>
        <v>0</v>
      </c>
      <c r="AY288" s="97">
        <f t="shared" si="489"/>
        <v>0</v>
      </c>
    </row>
    <row r="289" spans="2:51" x14ac:dyDescent="0.35">
      <c r="B289" s="12" t="s">
        <v>27</v>
      </c>
      <c r="C289" s="12"/>
      <c r="D289" s="13"/>
      <c r="E289" s="13">
        <f t="shared" ref="E289:AY289" si="490">SUM(E272:E288)</f>
        <v>261.00150587050007</v>
      </c>
      <c r="F289" s="13">
        <f t="shared" si="490"/>
        <v>12.734306200000001</v>
      </c>
      <c r="G289" s="13">
        <f t="shared" si="490"/>
        <v>246.36223086345007</v>
      </c>
      <c r="H289" s="13">
        <f t="shared" si="490"/>
        <v>151.60824956543897</v>
      </c>
      <c r="I289" s="13">
        <f t="shared" si="490"/>
        <v>4.9556081406933465</v>
      </c>
      <c r="J289" s="13">
        <f t="shared" si="490"/>
        <v>133.50636029777456</v>
      </c>
      <c r="K289" s="13">
        <f t="shared" si="490"/>
        <v>35.847663971217415</v>
      </c>
      <c r="L289" s="13"/>
      <c r="M289" s="13">
        <f t="shared" si="490"/>
        <v>273.30823917050003</v>
      </c>
      <c r="N289" s="13">
        <f t="shared" si="490"/>
        <v>14.328528090999997</v>
      </c>
      <c r="O289" s="13">
        <f t="shared" si="490"/>
        <v>258.87309053535006</v>
      </c>
      <c r="P289" s="13">
        <f t="shared" si="490"/>
        <v>187.4559135366564</v>
      </c>
      <c r="Q289" s="13"/>
      <c r="R289" s="13">
        <f t="shared" si="490"/>
        <v>110.16955599845713</v>
      </c>
      <c r="S289" s="13">
        <f t="shared" si="490"/>
        <v>34.922101574205442</v>
      </c>
      <c r="T289" s="13"/>
      <c r="U289" s="13">
        <f t="shared" si="490"/>
        <v>287.63676726150004</v>
      </c>
      <c r="V289" s="13">
        <f t="shared" si="490"/>
        <v>8.4580924</v>
      </c>
      <c r="W289" s="13">
        <f t="shared" si="490"/>
        <v>266.48537369535006</v>
      </c>
      <c r="X289" s="13">
        <f t="shared" si="490"/>
        <v>222.37801511086178</v>
      </c>
      <c r="Y289" s="13"/>
      <c r="Z289" s="13">
        <f t="shared" si="490"/>
        <v>82.859737584251675</v>
      </c>
      <c r="AA289" s="13">
        <f t="shared" si="490"/>
        <v>36.559182397072988</v>
      </c>
      <c r="AB289" s="13"/>
      <c r="AC289" s="13">
        <f t="shared" si="490"/>
        <v>296.01751986150003</v>
      </c>
      <c r="AD289" s="13">
        <f t="shared" si="490"/>
        <v>54.653169999999996</v>
      </c>
      <c r="AE289" s="13">
        <f t="shared" si="490"/>
        <v>315.60362087535003</v>
      </c>
      <c r="AF289" s="13">
        <f t="shared" si="490"/>
        <v>258.9371975079348</v>
      </c>
      <c r="AG289" s="13"/>
      <c r="AH289" s="13">
        <f t="shared" si="490"/>
        <v>95.418802367178685</v>
      </c>
      <c r="AI289" s="13">
        <f t="shared" si="490"/>
        <v>11.518729755678457</v>
      </c>
      <c r="AJ289" s="13"/>
      <c r="AK289" s="13">
        <f t="shared" si="490"/>
        <v>350.67068986150002</v>
      </c>
      <c r="AL289" s="13">
        <f t="shared" si="490"/>
        <v>61.46</v>
      </c>
      <c r="AM289" s="13">
        <f t="shared" si="490"/>
        <v>370.91762087535011</v>
      </c>
      <c r="AN289" s="13">
        <f t="shared" si="490"/>
        <v>270.45592726361326</v>
      </c>
      <c r="AO289" s="13"/>
      <c r="AP289" s="13">
        <f t="shared" si="490"/>
        <v>139.21407261150028</v>
      </c>
      <c r="AQ289" s="13">
        <f t="shared" si="490"/>
        <v>14.535155541920242</v>
      </c>
      <c r="AR289" s="13"/>
      <c r="AS289" s="13">
        <f t="shared" si="490"/>
        <v>412.1306898615</v>
      </c>
      <c r="AT289" s="13">
        <f t="shared" si="490"/>
        <v>61.719999999999992</v>
      </c>
      <c r="AU289" s="13">
        <f t="shared" si="490"/>
        <v>426.46562087535011</v>
      </c>
      <c r="AV289" s="13">
        <f t="shared" si="490"/>
        <v>284.99108280553344</v>
      </c>
      <c r="AW289" s="13"/>
      <c r="AX289" s="13">
        <f t="shared" si="490"/>
        <v>180.22691706958</v>
      </c>
      <c r="AY289" s="13">
        <f t="shared" si="490"/>
        <v>18.880698708523862</v>
      </c>
    </row>
  </sheetData>
  <mergeCells count="8">
    <mergeCell ref="AJ3:AQ3"/>
    <mergeCell ref="AR3:AY3"/>
    <mergeCell ref="B3:B4"/>
    <mergeCell ref="C3:C4"/>
    <mergeCell ref="D3:K3"/>
    <mergeCell ref="L3:S3"/>
    <mergeCell ref="T3:AA3"/>
    <mergeCell ref="AB3:AI3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B114"/>
  <sheetViews>
    <sheetView showGridLines="0" workbookViewId="0">
      <selection activeCell="G9" sqref="G9"/>
    </sheetView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1.26953125" style="5" customWidth="1"/>
    <col min="4" max="4" width="12.54296875" style="5" customWidth="1"/>
    <col min="5" max="8" width="11.81640625" style="5" customWidth="1"/>
    <col min="9" max="12" width="10.54296875" style="5" customWidth="1"/>
    <col min="13" max="14" width="11.81640625" style="5" customWidth="1"/>
    <col min="15" max="18" width="10.54296875" style="5" customWidth="1"/>
    <col min="19" max="23" width="11.81640625" style="5" customWidth="1"/>
    <col min="24" max="24" width="10.54296875" style="5" customWidth="1"/>
    <col min="25" max="25" width="11.81640625" style="5" customWidth="1"/>
    <col min="26" max="16384" width="9.1796875" style="5"/>
  </cols>
  <sheetData>
    <row r="2" spans="2:28" x14ac:dyDescent="0.35">
      <c r="B2" s="3" t="s">
        <v>236</v>
      </c>
      <c r="Y2" s="120" t="s">
        <v>164</v>
      </c>
      <c r="AB2" s="3"/>
    </row>
    <row r="3" spans="2:28" x14ac:dyDescent="0.35">
      <c r="B3" s="187" t="s">
        <v>170</v>
      </c>
      <c r="C3" s="152" t="s">
        <v>171</v>
      </c>
      <c r="D3" s="162"/>
      <c r="E3" s="162"/>
      <c r="F3" s="162"/>
      <c r="G3" s="153"/>
      <c r="H3" s="152" t="s">
        <v>237</v>
      </c>
      <c r="I3" s="162"/>
      <c r="J3" s="162"/>
      <c r="K3" s="162"/>
      <c r="L3" s="162"/>
      <c r="M3" s="153"/>
      <c r="N3" s="152" t="s">
        <v>131</v>
      </c>
      <c r="O3" s="162"/>
      <c r="P3" s="162"/>
      <c r="Q3" s="162"/>
      <c r="R3" s="162"/>
      <c r="S3" s="153"/>
      <c r="T3" s="152" t="s">
        <v>132</v>
      </c>
      <c r="U3" s="162"/>
      <c r="V3" s="162"/>
      <c r="W3" s="162"/>
      <c r="X3" s="162"/>
      <c r="Y3" s="153"/>
    </row>
    <row r="4" spans="2:28" ht="45" x14ac:dyDescent="0.35">
      <c r="B4" s="187"/>
      <c r="C4" s="96" t="s">
        <v>238</v>
      </c>
      <c r="D4" s="96" t="s">
        <v>239</v>
      </c>
      <c r="E4" s="96" t="s">
        <v>240</v>
      </c>
      <c r="F4" s="96" t="s">
        <v>241</v>
      </c>
      <c r="G4" s="96" t="s">
        <v>242</v>
      </c>
      <c r="H4" s="96" t="s">
        <v>243</v>
      </c>
      <c r="I4" s="96" t="s">
        <v>239</v>
      </c>
      <c r="J4" s="96" t="s">
        <v>244</v>
      </c>
      <c r="K4" s="96" t="s">
        <v>240</v>
      </c>
      <c r="L4" s="96" t="s">
        <v>241</v>
      </c>
      <c r="M4" s="96" t="s">
        <v>242</v>
      </c>
      <c r="N4" s="96" t="s">
        <v>238</v>
      </c>
      <c r="O4" s="96" t="s">
        <v>239</v>
      </c>
      <c r="P4" s="96" t="s">
        <v>244</v>
      </c>
      <c r="Q4" s="96" t="s">
        <v>240</v>
      </c>
      <c r="R4" s="96" t="s">
        <v>241</v>
      </c>
      <c r="S4" s="96" t="s">
        <v>242</v>
      </c>
      <c r="T4" s="96" t="s">
        <v>238</v>
      </c>
      <c r="U4" s="96" t="s">
        <v>239</v>
      </c>
      <c r="V4" s="96" t="s">
        <v>244</v>
      </c>
      <c r="W4" s="96" t="s">
        <v>240</v>
      </c>
      <c r="X4" s="96" t="s">
        <v>241</v>
      </c>
      <c r="Y4" s="96" t="s">
        <v>242</v>
      </c>
    </row>
    <row r="5" spans="2:28" x14ac:dyDescent="0.35">
      <c r="B5" s="7" t="s">
        <v>43</v>
      </c>
      <c r="C5" s="97">
        <v>73.673814902358799</v>
      </c>
      <c r="D5" s="97">
        <v>11.030875637209622</v>
      </c>
      <c r="E5" s="97">
        <v>1.47</v>
      </c>
      <c r="F5" s="97">
        <v>2.19</v>
      </c>
      <c r="G5" s="98">
        <f>SUM(C5:F5)</f>
        <v>88.364690539568414</v>
      </c>
      <c r="H5" s="97">
        <v>103.08306873163146</v>
      </c>
      <c r="I5" s="97">
        <v>6.8586762784870423</v>
      </c>
      <c r="J5" s="97">
        <v>3.5982554109727851</v>
      </c>
      <c r="K5" s="97">
        <v>6.6319925676984157</v>
      </c>
      <c r="L5" s="97">
        <v>0.38018498375569354</v>
      </c>
      <c r="M5" s="98">
        <f>SUM(H5:L5)</f>
        <v>120.55217797254539</v>
      </c>
      <c r="N5" s="97">
        <v>86.017803394178571</v>
      </c>
      <c r="O5" s="97">
        <f>I5</f>
        <v>6.8586762784870423</v>
      </c>
      <c r="P5" s="97">
        <f>J5</f>
        <v>3.5982554109727851</v>
      </c>
      <c r="Q5" s="97">
        <f>K5</f>
        <v>6.6319925676984157</v>
      </c>
      <c r="R5" s="97">
        <f>L5</f>
        <v>0.38018498375569354</v>
      </c>
      <c r="S5" s="98">
        <f>SUM(N5:R5)</f>
        <v>103.48691263509251</v>
      </c>
      <c r="T5" s="97">
        <f>'O&amp;M expenses'!E4</f>
        <v>79.166198282400927</v>
      </c>
      <c r="U5" s="97">
        <f>O5</f>
        <v>6.8586762784870423</v>
      </c>
      <c r="V5" s="97">
        <f>P5</f>
        <v>3.5982554109727851</v>
      </c>
      <c r="W5" s="97">
        <f>K5</f>
        <v>6.6319925676984157</v>
      </c>
      <c r="X5" s="97">
        <f>L5</f>
        <v>0.38018498375569354</v>
      </c>
      <c r="Y5" s="98">
        <f>SUM(T5:X5)</f>
        <v>96.635307523314864</v>
      </c>
    </row>
    <row r="6" spans="2:28" x14ac:dyDescent="0.35">
      <c r="B6" s="7" t="s">
        <v>150</v>
      </c>
      <c r="C6" s="97">
        <v>498.1872341688175</v>
      </c>
      <c r="D6" s="97">
        <v>45.631826473707619</v>
      </c>
      <c r="E6" s="97">
        <v>9.8699999999999992</v>
      </c>
      <c r="F6" s="97">
        <v>85.62</v>
      </c>
      <c r="G6" s="98">
        <f t="shared" ref="G6:G18" si="0">SUM(C6:F6)</f>
        <v>639.30906064252508</v>
      </c>
      <c r="H6" s="97">
        <v>611.46273333895067</v>
      </c>
      <c r="I6" s="97">
        <v>28.864518027415425</v>
      </c>
      <c r="J6" s="97">
        <v>13.994993935089955</v>
      </c>
      <c r="K6" s="97">
        <v>14.498739656919401</v>
      </c>
      <c r="L6" s="97">
        <v>53.894086709253962</v>
      </c>
      <c r="M6" s="98">
        <f t="shared" ref="M6:M18" si="1">SUM(H6:L6)</f>
        <v>722.71507166762945</v>
      </c>
      <c r="N6" s="97">
        <v>527.49348788395946</v>
      </c>
      <c r="O6" s="97">
        <f t="shared" ref="O6:R18" si="2">I6</f>
        <v>28.864518027415425</v>
      </c>
      <c r="P6" s="97">
        <f t="shared" si="2"/>
        <v>13.994993935089955</v>
      </c>
      <c r="Q6" s="97">
        <f t="shared" si="2"/>
        <v>14.498739656919401</v>
      </c>
      <c r="R6" s="97">
        <f t="shared" si="2"/>
        <v>53.894086709253962</v>
      </c>
      <c r="S6" s="98">
        <f t="shared" ref="S6:S18" si="3">SUM(N6:R6)</f>
        <v>638.74582621263824</v>
      </c>
      <c r="T6" s="97">
        <f>'O&amp;M expenses'!E5</f>
        <v>498.62896985654407</v>
      </c>
      <c r="U6" s="97">
        <f t="shared" ref="U6:V18" si="4">O6</f>
        <v>28.864518027415425</v>
      </c>
      <c r="V6" s="97">
        <f t="shared" si="4"/>
        <v>13.994993935089955</v>
      </c>
      <c r="W6" s="97">
        <f t="shared" ref="W6:X18" si="5">K6</f>
        <v>14.498739656919401</v>
      </c>
      <c r="X6" s="97">
        <f t="shared" si="5"/>
        <v>53.894086709253962</v>
      </c>
      <c r="Y6" s="98">
        <f t="shared" ref="Y6:Y18" si="6">SUM(T6:X6)</f>
        <v>609.88130818522279</v>
      </c>
    </row>
    <row r="7" spans="2:28" x14ac:dyDescent="0.35">
      <c r="B7" s="7" t="s">
        <v>151</v>
      </c>
      <c r="C7" s="97">
        <v>243.70089957736965</v>
      </c>
      <c r="D7" s="97">
        <v>18.41663512265216</v>
      </c>
      <c r="E7" s="97">
        <v>6.54</v>
      </c>
      <c r="F7" s="97">
        <v>35.46</v>
      </c>
      <c r="G7" s="98">
        <f t="shared" si="0"/>
        <v>304.11753470002179</v>
      </c>
      <c r="H7" s="97">
        <v>264.51141938864771</v>
      </c>
      <c r="I7" s="97">
        <v>15.016686484328226</v>
      </c>
      <c r="J7" s="97">
        <v>7.3816535773560465</v>
      </c>
      <c r="K7" s="97">
        <v>7.3540757122428966</v>
      </c>
      <c r="L7" s="97">
        <v>16.179457223838387</v>
      </c>
      <c r="M7" s="98">
        <f t="shared" si="1"/>
        <v>310.44329238641319</v>
      </c>
      <c r="N7" s="97">
        <v>258.93367225799312</v>
      </c>
      <c r="O7" s="97">
        <f t="shared" si="2"/>
        <v>15.016686484328226</v>
      </c>
      <c r="P7" s="97">
        <f t="shared" si="2"/>
        <v>7.3816535773560465</v>
      </c>
      <c r="Q7" s="97">
        <f t="shared" si="2"/>
        <v>7.3540757122428966</v>
      </c>
      <c r="R7" s="97">
        <f t="shared" si="2"/>
        <v>16.179457223838387</v>
      </c>
      <c r="S7" s="98">
        <f t="shared" si="3"/>
        <v>304.8655452557586</v>
      </c>
      <c r="T7" s="97">
        <f>'O&amp;M expenses'!E6</f>
        <v>243.91698577366489</v>
      </c>
      <c r="U7" s="97">
        <f t="shared" si="4"/>
        <v>15.016686484328226</v>
      </c>
      <c r="V7" s="97">
        <f t="shared" si="4"/>
        <v>7.3816535773560465</v>
      </c>
      <c r="W7" s="97">
        <f t="shared" si="5"/>
        <v>7.3540757122428966</v>
      </c>
      <c r="X7" s="97">
        <f t="shared" si="5"/>
        <v>16.179457223838387</v>
      </c>
      <c r="Y7" s="98">
        <f t="shared" si="6"/>
        <v>289.8488587714304</v>
      </c>
    </row>
    <row r="8" spans="2:28" x14ac:dyDescent="0.35">
      <c r="B8" s="7" t="s">
        <v>44</v>
      </c>
      <c r="C8" s="97">
        <v>173.42871646688175</v>
      </c>
      <c r="D8" s="97">
        <v>15.158655444934825</v>
      </c>
      <c r="E8" s="97">
        <v>3.37</v>
      </c>
      <c r="F8" s="97">
        <v>3.8</v>
      </c>
      <c r="G8" s="98">
        <f t="shared" si="0"/>
        <v>195.75737191181659</v>
      </c>
      <c r="H8" s="97">
        <v>151.34654603426898</v>
      </c>
      <c r="I8" s="97">
        <v>10.892850559753667</v>
      </c>
      <c r="J8" s="97">
        <v>5.99484401105543</v>
      </c>
      <c r="K8" s="97">
        <v>2.8912215510000001</v>
      </c>
      <c r="L8" s="97">
        <v>12.141492851999999</v>
      </c>
      <c r="M8" s="98">
        <f t="shared" si="1"/>
        <v>183.26695500807807</v>
      </c>
      <c r="N8" s="97">
        <v>184.63051485527416</v>
      </c>
      <c r="O8" s="97">
        <f t="shared" si="2"/>
        <v>10.892850559753667</v>
      </c>
      <c r="P8" s="97">
        <f t="shared" si="2"/>
        <v>5.99484401105543</v>
      </c>
      <c r="Q8" s="97">
        <f t="shared" si="2"/>
        <v>2.8912215510000001</v>
      </c>
      <c r="R8" s="97">
        <f t="shared" si="2"/>
        <v>12.141492851999999</v>
      </c>
      <c r="S8" s="98">
        <f t="shared" si="3"/>
        <v>216.55092382908325</v>
      </c>
      <c r="T8" s="97">
        <f>'O&amp;M expenses'!E7</f>
        <v>173.73637962431175</v>
      </c>
      <c r="U8" s="97">
        <f t="shared" si="4"/>
        <v>10.892850559753667</v>
      </c>
      <c r="V8" s="97">
        <f t="shared" si="4"/>
        <v>5.99484401105543</v>
      </c>
      <c r="W8" s="97">
        <f t="shared" si="5"/>
        <v>2.8912215510000001</v>
      </c>
      <c r="X8" s="97">
        <f t="shared" si="5"/>
        <v>12.141492851999999</v>
      </c>
      <c r="Y8" s="98">
        <f t="shared" si="6"/>
        <v>205.65678859812084</v>
      </c>
    </row>
    <row r="9" spans="2:28" x14ac:dyDescent="0.35">
      <c r="B9" s="7" t="s">
        <v>152</v>
      </c>
      <c r="C9" s="97">
        <v>263.92499214801757</v>
      </c>
      <c r="D9" s="97">
        <v>22.458943241301448</v>
      </c>
      <c r="E9" s="97">
        <v>58.47</v>
      </c>
      <c r="F9" s="97">
        <v>25.84</v>
      </c>
      <c r="G9" s="98">
        <f t="shared" si="0"/>
        <v>370.69393538931894</v>
      </c>
      <c r="H9" s="97">
        <v>236.94757731673556</v>
      </c>
      <c r="I9" s="97">
        <v>16.715214049683979</v>
      </c>
      <c r="J9" s="97">
        <v>8.5612010031662873</v>
      </c>
      <c r="K9" s="97">
        <v>23.902356424000001</v>
      </c>
      <c r="L9" s="97">
        <v>15.430475615000001</v>
      </c>
      <c r="M9" s="98">
        <f t="shared" si="1"/>
        <v>301.55682440858578</v>
      </c>
      <c r="N9" s="97">
        <v>280.87422481543922</v>
      </c>
      <c r="O9" s="97">
        <f t="shared" si="2"/>
        <v>16.715214049683979</v>
      </c>
      <c r="P9" s="97">
        <f t="shared" si="2"/>
        <v>8.5612010031662873</v>
      </c>
      <c r="Q9" s="97">
        <f t="shared" si="2"/>
        <v>23.902356424000001</v>
      </c>
      <c r="R9" s="97">
        <f t="shared" si="2"/>
        <v>15.430475615000001</v>
      </c>
      <c r="S9" s="98">
        <f t="shared" si="3"/>
        <v>345.48347190728947</v>
      </c>
      <c r="T9" s="97">
        <f>'O&amp;M expenses'!E8</f>
        <v>264.15901076575523</v>
      </c>
      <c r="U9" s="97">
        <f t="shared" si="4"/>
        <v>16.715214049683979</v>
      </c>
      <c r="V9" s="97">
        <f t="shared" si="4"/>
        <v>8.5612010031662873</v>
      </c>
      <c r="W9" s="97">
        <f t="shared" si="5"/>
        <v>23.902356424000001</v>
      </c>
      <c r="X9" s="97">
        <f t="shared" si="5"/>
        <v>15.430475615000001</v>
      </c>
      <c r="Y9" s="98">
        <f t="shared" si="6"/>
        <v>328.76825785760548</v>
      </c>
    </row>
    <row r="10" spans="2:28" x14ac:dyDescent="0.35">
      <c r="B10" s="7" t="s">
        <v>154</v>
      </c>
      <c r="C10" s="97">
        <v>73.167129325729647</v>
      </c>
      <c r="D10" s="97">
        <v>6.2997662595367618</v>
      </c>
      <c r="E10" s="97">
        <v>0.87</v>
      </c>
      <c r="F10" s="97">
        <v>0.11</v>
      </c>
      <c r="G10" s="98">
        <f t="shared" si="0"/>
        <v>80.446895585266418</v>
      </c>
      <c r="H10" s="97">
        <v>95.799476957278443</v>
      </c>
      <c r="I10" s="97">
        <v>6.0090717169816124</v>
      </c>
      <c r="J10" s="97">
        <v>3.0237362433773747</v>
      </c>
      <c r="K10" s="97">
        <v>1.3491441049999999</v>
      </c>
      <c r="L10" s="97">
        <v>1.0279716E-2</v>
      </c>
      <c r="M10" s="98">
        <f t="shared" si="1"/>
        <v>106.19170873863742</v>
      </c>
      <c r="N10" s="97">
        <v>81.485186049555807</v>
      </c>
      <c r="O10" s="97">
        <f t="shared" si="2"/>
        <v>6.0090717169816124</v>
      </c>
      <c r="P10" s="97">
        <f t="shared" si="2"/>
        <v>3.0237362433773747</v>
      </c>
      <c r="Q10" s="97">
        <f t="shared" si="2"/>
        <v>1.3491441049999999</v>
      </c>
      <c r="R10" s="97">
        <f t="shared" si="2"/>
        <v>1.0279716E-2</v>
      </c>
      <c r="S10" s="98">
        <f t="shared" si="3"/>
        <v>91.87741783091478</v>
      </c>
      <c r="T10" s="97">
        <f>'O&amp;M expenses'!E9</f>
        <v>75.476114332574198</v>
      </c>
      <c r="U10" s="97">
        <f t="shared" si="4"/>
        <v>6.0090717169816124</v>
      </c>
      <c r="V10" s="97">
        <f t="shared" si="4"/>
        <v>3.0237362433773747</v>
      </c>
      <c r="W10" s="97">
        <f t="shared" si="5"/>
        <v>1.3491441049999999</v>
      </c>
      <c r="X10" s="97">
        <f t="shared" si="5"/>
        <v>1.0279716E-2</v>
      </c>
      <c r="Y10" s="98">
        <f t="shared" si="6"/>
        <v>85.868346113933171</v>
      </c>
    </row>
    <row r="11" spans="2:28" x14ac:dyDescent="0.35">
      <c r="B11" s="7" t="s">
        <v>155</v>
      </c>
      <c r="C11" s="97">
        <v>137.75</v>
      </c>
      <c r="D11" s="97">
        <v>14.208411372267269</v>
      </c>
      <c r="E11" s="97">
        <v>4.83</v>
      </c>
      <c r="F11" s="97">
        <v>19.98</v>
      </c>
      <c r="G11" s="98">
        <f t="shared" si="0"/>
        <v>176.76841137226728</v>
      </c>
      <c r="H11" s="97">
        <v>180.53445965587366</v>
      </c>
      <c r="I11" s="97">
        <v>9.2159670605259887</v>
      </c>
      <c r="J11" s="97">
        <v>4.5305065310843569</v>
      </c>
      <c r="K11" s="97">
        <v>3.0277278289999998</v>
      </c>
      <c r="L11" s="97">
        <v>4.6818281740000005</v>
      </c>
      <c r="M11" s="98">
        <f t="shared" si="1"/>
        <v>201.99048925048405</v>
      </c>
      <c r="N11" s="97">
        <v>146.965967060526</v>
      </c>
      <c r="O11" s="97">
        <f t="shared" si="2"/>
        <v>9.2159670605259887</v>
      </c>
      <c r="P11" s="97">
        <f t="shared" si="2"/>
        <v>4.5305065310843569</v>
      </c>
      <c r="Q11" s="97">
        <f t="shared" si="2"/>
        <v>3.0277278289999998</v>
      </c>
      <c r="R11" s="97">
        <f t="shared" si="2"/>
        <v>4.6818281740000005</v>
      </c>
      <c r="S11" s="98">
        <f t="shared" si="3"/>
        <v>168.42199665513638</v>
      </c>
      <c r="T11" s="97">
        <f>'O&amp;M expenses'!E14</f>
        <v>137.75</v>
      </c>
      <c r="U11" s="97">
        <f t="shared" si="4"/>
        <v>9.2159670605259887</v>
      </c>
      <c r="V11" s="97">
        <f t="shared" si="4"/>
        <v>4.5305065310843569</v>
      </c>
      <c r="W11" s="97">
        <f t="shared" si="5"/>
        <v>3.0277278289999998</v>
      </c>
      <c r="X11" s="97">
        <f t="shared" si="5"/>
        <v>4.6818281740000005</v>
      </c>
      <c r="Y11" s="98">
        <f t="shared" si="6"/>
        <v>159.20602959461038</v>
      </c>
    </row>
    <row r="12" spans="2:28" x14ac:dyDescent="0.35">
      <c r="B12" s="7" t="s">
        <v>156</v>
      </c>
      <c r="C12" s="97">
        <v>137.75</v>
      </c>
      <c r="D12" s="97">
        <v>13.00175223237196</v>
      </c>
      <c r="E12" s="97">
        <v>19.899999999999999</v>
      </c>
      <c r="F12" s="97">
        <v>10.050000000000001</v>
      </c>
      <c r="G12" s="98">
        <f t="shared" si="0"/>
        <v>180.70175223237197</v>
      </c>
      <c r="H12" s="97">
        <v>166.38940357803406</v>
      </c>
      <c r="I12" s="97">
        <v>11.238738909456311</v>
      </c>
      <c r="J12" s="97">
        <v>6.138392601084357</v>
      </c>
      <c r="K12" s="97">
        <v>17.276308429828998</v>
      </c>
      <c r="L12" s="97">
        <v>7.2115744739999998</v>
      </c>
      <c r="M12" s="98">
        <f t="shared" si="1"/>
        <v>208.25441799240372</v>
      </c>
      <c r="N12" s="97">
        <v>148.98873890945632</v>
      </c>
      <c r="O12" s="97">
        <f t="shared" si="2"/>
        <v>11.238738909456311</v>
      </c>
      <c r="P12" s="97">
        <f t="shared" si="2"/>
        <v>6.138392601084357</v>
      </c>
      <c r="Q12" s="97">
        <f t="shared" si="2"/>
        <v>17.276308429828998</v>
      </c>
      <c r="R12" s="97">
        <f t="shared" si="2"/>
        <v>7.2115744739999998</v>
      </c>
      <c r="S12" s="98">
        <f t="shared" si="3"/>
        <v>190.85375332382597</v>
      </c>
      <c r="T12" s="97">
        <f>'O&amp;M expenses'!E15</f>
        <v>137.75</v>
      </c>
      <c r="U12" s="97">
        <f t="shared" si="4"/>
        <v>11.238738909456311</v>
      </c>
      <c r="V12" s="97">
        <f t="shared" si="4"/>
        <v>6.138392601084357</v>
      </c>
      <c r="W12" s="97">
        <f t="shared" si="5"/>
        <v>17.276308429828998</v>
      </c>
      <c r="X12" s="97">
        <f t="shared" si="5"/>
        <v>7.2115744739999998</v>
      </c>
      <c r="Y12" s="98">
        <f t="shared" si="6"/>
        <v>179.61501441436965</v>
      </c>
    </row>
    <row r="13" spans="2:28" x14ac:dyDescent="0.35">
      <c r="B13" s="7" t="s">
        <v>8</v>
      </c>
      <c r="C13" s="97">
        <v>90.25</v>
      </c>
      <c r="D13" s="97">
        <v>9.4672465017619487</v>
      </c>
      <c r="E13" s="97">
        <v>4.58</v>
      </c>
      <c r="F13" s="97">
        <v>22.13</v>
      </c>
      <c r="G13" s="98">
        <f t="shared" si="0"/>
        <v>126.42724650176194</v>
      </c>
      <c r="H13" s="97">
        <v>143.77034667781055</v>
      </c>
      <c r="I13" s="97">
        <v>5.634160669177998</v>
      </c>
      <c r="J13" s="97">
        <v>2.8032560579500281</v>
      </c>
      <c r="K13" s="97">
        <v>3.3806996397571041</v>
      </c>
      <c r="L13" s="97">
        <v>6.0617141291616088</v>
      </c>
      <c r="M13" s="98">
        <f t="shared" si="1"/>
        <v>161.65017717385726</v>
      </c>
      <c r="N13" s="97">
        <v>95.884160669178002</v>
      </c>
      <c r="O13" s="97">
        <f t="shared" si="2"/>
        <v>5.634160669177998</v>
      </c>
      <c r="P13" s="97">
        <f t="shared" si="2"/>
        <v>2.8032560579500281</v>
      </c>
      <c r="Q13" s="97">
        <f t="shared" si="2"/>
        <v>3.3806996397571041</v>
      </c>
      <c r="R13" s="97">
        <f t="shared" si="2"/>
        <v>6.0617141291616088</v>
      </c>
      <c r="S13" s="98">
        <f t="shared" si="3"/>
        <v>113.76399116522474</v>
      </c>
      <c r="T13" s="97">
        <f>'O&amp;M expenses'!E16</f>
        <v>90.25</v>
      </c>
      <c r="U13" s="97">
        <f t="shared" si="4"/>
        <v>5.634160669177998</v>
      </c>
      <c r="V13" s="97">
        <f t="shared" si="4"/>
        <v>2.8032560579500281</v>
      </c>
      <c r="W13" s="97">
        <f t="shared" si="5"/>
        <v>3.3806996397571041</v>
      </c>
      <c r="X13" s="97">
        <f t="shared" si="5"/>
        <v>6.0617141291616088</v>
      </c>
      <c r="Y13" s="98">
        <f t="shared" si="6"/>
        <v>108.12983049604675</v>
      </c>
    </row>
    <row r="14" spans="2:28" x14ac:dyDescent="0.35">
      <c r="B14" s="7" t="s">
        <v>157</v>
      </c>
      <c r="C14" s="97">
        <v>180.5</v>
      </c>
      <c r="D14" s="97">
        <v>18.205469773170481</v>
      </c>
      <c r="E14" s="97">
        <v>12.25</v>
      </c>
      <c r="F14" s="97">
        <v>55.07</v>
      </c>
      <c r="G14" s="98">
        <f t="shared" si="0"/>
        <v>266.02546977317047</v>
      </c>
      <c r="H14" s="97">
        <v>245.12132458196595</v>
      </c>
      <c r="I14" s="97">
        <v>14.150678103784625</v>
      </c>
      <c r="J14" s="97">
        <v>6.9838506522513573</v>
      </c>
      <c r="K14" s="97">
        <v>7.3020264903015848</v>
      </c>
      <c r="L14" s="97">
        <v>30.767425692244331</v>
      </c>
      <c r="M14" s="98">
        <f t="shared" si="1"/>
        <v>304.32530552054783</v>
      </c>
      <c r="N14" s="97">
        <v>194.65067810378463</v>
      </c>
      <c r="O14" s="97">
        <f t="shared" si="2"/>
        <v>14.150678103784625</v>
      </c>
      <c r="P14" s="97">
        <f t="shared" si="2"/>
        <v>6.9838506522513573</v>
      </c>
      <c r="Q14" s="97">
        <f t="shared" si="2"/>
        <v>7.3020264903015848</v>
      </c>
      <c r="R14" s="97">
        <f t="shared" si="2"/>
        <v>30.767425692244331</v>
      </c>
      <c r="S14" s="98">
        <f t="shared" si="3"/>
        <v>253.85465904236654</v>
      </c>
      <c r="T14" s="97">
        <f>'O&amp;M expenses'!E17</f>
        <v>180.5</v>
      </c>
      <c r="U14" s="97">
        <f t="shared" si="4"/>
        <v>14.150678103784625</v>
      </c>
      <c r="V14" s="97">
        <f t="shared" si="4"/>
        <v>6.9838506522513573</v>
      </c>
      <c r="W14" s="97">
        <f t="shared" si="5"/>
        <v>7.3020264903015848</v>
      </c>
      <c r="X14" s="97">
        <f t="shared" si="5"/>
        <v>30.767425692244331</v>
      </c>
      <c r="Y14" s="98">
        <f t="shared" si="6"/>
        <v>239.70398093858191</v>
      </c>
    </row>
    <row r="15" spans="2:28" x14ac:dyDescent="0.35">
      <c r="B15" s="7" t="s">
        <v>158</v>
      </c>
      <c r="C15" s="97">
        <v>310.83359999999999</v>
      </c>
      <c r="D15" s="97">
        <v>22.418721269971606</v>
      </c>
      <c r="E15" s="97">
        <v>39.770000000000003</v>
      </c>
      <c r="F15" s="97">
        <v>58.22</v>
      </c>
      <c r="G15" s="98">
        <f t="shared" si="0"/>
        <v>431.24232126997163</v>
      </c>
      <c r="H15" s="97">
        <v>408.53085444474152</v>
      </c>
      <c r="I15" s="97">
        <v>19.426388985824072</v>
      </c>
      <c r="J15" s="97">
        <v>9.1612904570940508</v>
      </c>
      <c r="K15" s="97">
        <v>32.467383931999997</v>
      </c>
      <c r="L15" s="97">
        <v>21.818418130000001</v>
      </c>
      <c r="M15" s="98">
        <f t="shared" si="1"/>
        <v>491.40433594965964</v>
      </c>
      <c r="N15" s="97">
        <v>330.25998898582407</v>
      </c>
      <c r="O15" s="97">
        <f t="shared" si="2"/>
        <v>19.426388985824072</v>
      </c>
      <c r="P15" s="97">
        <f t="shared" si="2"/>
        <v>9.1612904570940508</v>
      </c>
      <c r="Q15" s="97">
        <f t="shared" si="2"/>
        <v>32.467383931999997</v>
      </c>
      <c r="R15" s="97">
        <f t="shared" si="2"/>
        <v>21.818418130000001</v>
      </c>
      <c r="S15" s="98">
        <f t="shared" si="3"/>
        <v>413.13347049074218</v>
      </c>
      <c r="T15" s="97">
        <f>'O&amp;M expenses'!E18</f>
        <v>310.83359999999999</v>
      </c>
      <c r="U15" s="97">
        <f t="shared" si="4"/>
        <v>19.426388985824072</v>
      </c>
      <c r="V15" s="97">
        <f t="shared" si="4"/>
        <v>9.1612904570940508</v>
      </c>
      <c r="W15" s="97">
        <f t="shared" si="5"/>
        <v>32.467383931999997</v>
      </c>
      <c r="X15" s="97">
        <f t="shared" si="5"/>
        <v>21.818418130000001</v>
      </c>
      <c r="Y15" s="98">
        <f t="shared" si="6"/>
        <v>393.70708150491811</v>
      </c>
    </row>
    <row r="16" spans="2:28" x14ac:dyDescent="0.35">
      <c r="B16" s="7" t="s">
        <v>159</v>
      </c>
      <c r="C16" s="97">
        <v>180.5</v>
      </c>
      <c r="D16" s="97">
        <v>16.878144719285643</v>
      </c>
      <c r="E16" s="97">
        <v>3.86</v>
      </c>
      <c r="F16" s="97">
        <v>33.44</v>
      </c>
      <c r="G16" s="98">
        <f t="shared" si="0"/>
        <v>234.67814471928565</v>
      </c>
      <c r="H16" s="97">
        <v>218.65983633023797</v>
      </c>
      <c r="I16" s="97">
        <v>10.872034996685919</v>
      </c>
      <c r="J16" s="97">
        <v>5.1870120224426852</v>
      </c>
      <c r="K16" s="97">
        <v>1.455743058080599</v>
      </c>
      <c r="L16" s="97">
        <v>26.634016825746045</v>
      </c>
      <c r="M16" s="98">
        <f t="shared" si="1"/>
        <v>262.80864323319321</v>
      </c>
      <c r="N16" s="97">
        <v>191.37203499668593</v>
      </c>
      <c r="O16" s="97">
        <f t="shared" si="2"/>
        <v>10.872034996685919</v>
      </c>
      <c r="P16" s="97">
        <f t="shared" si="2"/>
        <v>5.1870120224426852</v>
      </c>
      <c r="Q16" s="97">
        <f t="shared" si="2"/>
        <v>1.455743058080599</v>
      </c>
      <c r="R16" s="97">
        <f t="shared" si="2"/>
        <v>26.634016825746045</v>
      </c>
      <c r="S16" s="98">
        <f t="shared" si="3"/>
        <v>235.52084189964117</v>
      </c>
      <c r="T16" s="97">
        <f>'O&amp;M expenses'!E19</f>
        <v>180.5</v>
      </c>
      <c r="U16" s="97">
        <f t="shared" si="4"/>
        <v>10.872034996685919</v>
      </c>
      <c r="V16" s="97">
        <f t="shared" si="4"/>
        <v>5.1870120224426852</v>
      </c>
      <c r="W16" s="97">
        <f t="shared" si="5"/>
        <v>1.455743058080599</v>
      </c>
      <c r="X16" s="97">
        <f t="shared" si="5"/>
        <v>26.634016825746045</v>
      </c>
      <c r="Y16" s="98">
        <f t="shared" si="6"/>
        <v>224.64880690295524</v>
      </c>
    </row>
    <row r="17" spans="2:25" x14ac:dyDescent="0.35">
      <c r="B17" s="7" t="s">
        <v>160</v>
      </c>
      <c r="C17" s="97">
        <v>68.875</v>
      </c>
      <c r="D17" s="97">
        <v>6.6969582264189675</v>
      </c>
      <c r="E17" s="97">
        <v>17.5</v>
      </c>
      <c r="F17" s="97">
        <v>8.1999999999999993</v>
      </c>
      <c r="G17" s="98">
        <f t="shared" si="0"/>
        <v>101.27195822641897</v>
      </c>
      <c r="H17" s="97">
        <v>113.89489826733495</v>
      </c>
      <c r="I17" s="97">
        <v>4.7564507520596004</v>
      </c>
      <c r="J17" s="97">
        <v>2.0853181405421783</v>
      </c>
      <c r="K17" s="97">
        <v>6.7605142861709933</v>
      </c>
      <c r="L17" s="97">
        <v>6.9681246829999992</v>
      </c>
      <c r="M17" s="98">
        <f t="shared" si="1"/>
        <v>134.46530612910772</v>
      </c>
      <c r="N17" s="97">
        <v>73.631450752059607</v>
      </c>
      <c r="O17" s="97">
        <f t="shared" si="2"/>
        <v>4.7564507520596004</v>
      </c>
      <c r="P17" s="97">
        <f t="shared" si="2"/>
        <v>2.0853181405421783</v>
      </c>
      <c r="Q17" s="97">
        <f t="shared" si="2"/>
        <v>6.7605142861709933</v>
      </c>
      <c r="R17" s="97">
        <f t="shared" si="2"/>
        <v>6.9681246829999992</v>
      </c>
      <c r="S17" s="98">
        <f t="shared" si="3"/>
        <v>94.201858613832385</v>
      </c>
      <c r="T17" s="97">
        <f>'O&amp;M expenses'!E20</f>
        <v>68.875</v>
      </c>
      <c r="U17" s="97">
        <f t="shared" si="4"/>
        <v>4.7564507520596004</v>
      </c>
      <c r="V17" s="97">
        <f t="shared" si="4"/>
        <v>2.0853181405421783</v>
      </c>
      <c r="W17" s="97">
        <f t="shared" si="5"/>
        <v>6.7605142861709933</v>
      </c>
      <c r="X17" s="97">
        <f t="shared" si="5"/>
        <v>6.9681246829999992</v>
      </c>
      <c r="Y17" s="98">
        <f t="shared" si="6"/>
        <v>89.445407861772779</v>
      </c>
    </row>
    <row r="18" spans="2:25" x14ac:dyDescent="0.35">
      <c r="B18" s="7" t="s">
        <v>161</v>
      </c>
      <c r="C18" s="97">
        <v>172.81119437392357</v>
      </c>
      <c r="D18" s="97">
        <v>25.053260392076368</v>
      </c>
      <c r="E18" s="97">
        <v>0</v>
      </c>
      <c r="F18" s="97">
        <v>0.63</v>
      </c>
      <c r="G18" s="98">
        <f t="shared" si="0"/>
        <v>198.49445476599993</v>
      </c>
      <c r="H18" s="97">
        <v>243.48325299724314</v>
      </c>
      <c r="I18" s="97">
        <v>21.484852823280583</v>
      </c>
      <c r="J18" s="97">
        <v>10.399698587533109</v>
      </c>
      <c r="K18" s="97">
        <v>0</v>
      </c>
      <c r="L18" s="97">
        <v>0.255695061</v>
      </c>
      <c r="M18" s="98">
        <f t="shared" si="1"/>
        <v>275.62349946905681</v>
      </c>
      <c r="N18" s="97">
        <v>194.44927647840197</v>
      </c>
      <c r="O18" s="97">
        <f t="shared" si="2"/>
        <v>21.484852823280583</v>
      </c>
      <c r="P18" s="97">
        <f t="shared" si="2"/>
        <v>10.399698587533109</v>
      </c>
      <c r="Q18" s="97">
        <f t="shared" si="2"/>
        <v>0</v>
      </c>
      <c r="R18" s="97">
        <f t="shared" si="2"/>
        <v>0.255695061</v>
      </c>
      <c r="S18" s="98">
        <f t="shared" si="3"/>
        <v>226.5895229502157</v>
      </c>
      <c r="T18" s="97">
        <f>'O&amp;M expenses'!E10</f>
        <v>172.96442365512138</v>
      </c>
      <c r="U18" s="97">
        <f t="shared" si="4"/>
        <v>21.484852823280583</v>
      </c>
      <c r="V18" s="97">
        <f t="shared" si="4"/>
        <v>10.399698587533109</v>
      </c>
      <c r="W18" s="97">
        <f t="shared" si="5"/>
        <v>0</v>
      </c>
      <c r="X18" s="97">
        <f t="shared" si="5"/>
        <v>0.255695061</v>
      </c>
      <c r="Y18" s="98">
        <f t="shared" si="6"/>
        <v>205.10467012693508</v>
      </c>
    </row>
    <row r="19" spans="2:25" x14ac:dyDescent="0.35">
      <c r="B19" s="12" t="s">
        <v>27</v>
      </c>
      <c r="C19" s="98">
        <f>SUM(C5:C18)</f>
        <v>2605.3525809630983</v>
      </c>
      <c r="D19" s="98">
        <f t="shared" ref="D19:Y19" si="7">SUM(D5:D18)</f>
        <v>244.92666666666665</v>
      </c>
      <c r="E19" s="98">
        <f t="shared" si="7"/>
        <v>183.28</v>
      </c>
      <c r="F19" s="98">
        <f t="shared" si="7"/>
        <v>360.74</v>
      </c>
      <c r="G19" s="98">
        <f t="shared" si="7"/>
        <v>3394.2992476297645</v>
      </c>
      <c r="H19" s="98">
        <f t="shared" si="7"/>
        <v>3183.5351983007545</v>
      </c>
      <c r="I19" s="98">
        <f t="shared" si="7"/>
        <v>181.13628941744506</v>
      </c>
      <c r="J19" s="98">
        <f t="shared" si="7"/>
        <v>89.844009231000001</v>
      </c>
      <c r="K19" s="98">
        <f t="shared" si="7"/>
        <v>128.29793368199998</v>
      </c>
      <c r="L19" s="98">
        <f t="shared" si="7"/>
        <v>202.43477426900003</v>
      </c>
      <c r="M19" s="98">
        <f t="shared" si="7"/>
        <v>3785.2482049001992</v>
      </c>
      <c r="N19" s="98">
        <f t="shared" si="7"/>
        <v>2795.637185212317</v>
      </c>
      <c r="O19" s="98">
        <f t="shared" si="7"/>
        <v>181.13628941744506</v>
      </c>
      <c r="P19" s="98">
        <f t="shared" si="7"/>
        <v>89.844009231000001</v>
      </c>
      <c r="Q19" s="98">
        <f t="shared" si="7"/>
        <v>128.29793368199998</v>
      </c>
      <c r="R19" s="98">
        <f t="shared" si="7"/>
        <v>202.43477426900003</v>
      </c>
      <c r="S19" s="98">
        <f t="shared" si="7"/>
        <v>3397.3501918117618</v>
      </c>
      <c r="T19" s="98">
        <f t="shared" si="7"/>
        <v>2614.5066822903723</v>
      </c>
      <c r="U19" s="98">
        <f t="shared" si="7"/>
        <v>181.13628941744506</v>
      </c>
      <c r="V19" s="98">
        <f t="shared" si="7"/>
        <v>89.844009231000001</v>
      </c>
      <c r="W19" s="98">
        <f t="shared" si="7"/>
        <v>128.29793368199998</v>
      </c>
      <c r="X19" s="98">
        <f t="shared" si="7"/>
        <v>202.43477426900003</v>
      </c>
      <c r="Y19" s="98">
        <f t="shared" si="7"/>
        <v>3216.2196888898175</v>
      </c>
    </row>
    <row r="20" spans="2:25" x14ac:dyDescent="0.35">
      <c r="T20" s="91"/>
    </row>
    <row r="21" spans="2:25" x14ac:dyDescent="0.35">
      <c r="B21" s="3" t="s">
        <v>245</v>
      </c>
      <c r="T21" s="91"/>
      <c r="Y21" s="120" t="s">
        <v>164</v>
      </c>
    </row>
    <row r="22" spans="2:25" x14ac:dyDescent="0.35">
      <c r="B22" s="187" t="s">
        <v>170</v>
      </c>
      <c r="C22" s="152" t="s">
        <v>172</v>
      </c>
      <c r="D22" s="162"/>
      <c r="E22" s="162"/>
      <c r="F22" s="162"/>
      <c r="G22" s="153"/>
      <c r="H22" s="152" t="s">
        <v>237</v>
      </c>
      <c r="I22" s="162"/>
      <c r="J22" s="162"/>
      <c r="K22" s="162"/>
      <c r="L22" s="162"/>
      <c r="M22" s="153"/>
      <c r="N22" s="152" t="s">
        <v>131</v>
      </c>
      <c r="O22" s="162"/>
      <c r="P22" s="162"/>
      <c r="Q22" s="162"/>
      <c r="R22" s="162"/>
      <c r="S22" s="153"/>
      <c r="T22" s="152" t="s">
        <v>132</v>
      </c>
      <c r="U22" s="162"/>
      <c r="V22" s="162"/>
      <c r="W22" s="162"/>
      <c r="X22" s="162"/>
      <c r="Y22" s="153"/>
    </row>
    <row r="23" spans="2:25" ht="45" x14ac:dyDescent="0.35">
      <c r="B23" s="187"/>
      <c r="C23" s="96" t="s">
        <v>238</v>
      </c>
      <c r="D23" s="96" t="s">
        <v>239</v>
      </c>
      <c r="E23" s="96" t="s">
        <v>240</v>
      </c>
      <c r="F23" s="96" t="s">
        <v>241</v>
      </c>
      <c r="G23" s="96" t="s">
        <v>242</v>
      </c>
      <c r="H23" s="96" t="s">
        <v>243</v>
      </c>
      <c r="I23" s="96" t="s">
        <v>239</v>
      </c>
      <c r="J23" s="96" t="s">
        <v>244</v>
      </c>
      <c r="K23" s="96" t="s">
        <v>240</v>
      </c>
      <c r="L23" s="96" t="s">
        <v>241</v>
      </c>
      <c r="M23" s="96" t="s">
        <v>242</v>
      </c>
      <c r="N23" s="96" t="s">
        <v>238</v>
      </c>
      <c r="O23" s="96" t="s">
        <v>239</v>
      </c>
      <c r="P23" s="96" t="s">
        <v>244</v>
      </c>
      <c r="Q23" s="96" t="s">
        <v>240</v>
      </c>
      <c r="R23" s="96" t="s">
        <v>241</v>
      </c>
      <c r="S23" s="96" t="s">
        <v>242</v>
      </c>
      <c r="T23" s="96" t="s">
        <v>238</v>
      </c>
      <c r="U23" s="96" t="s">
        <v>239</v>
      </c>
      <c r="V23" s="96" t="s">
        <v>244</v>
      </c>
      <c r="W23" s="96" t="s">
        <v>240</v>
      </c>
      <c r="X23" s="96" t="s">
        <v>241</v>
      </c>
      <c r="Y23" s="96" t="s">
        <v>242</v>
      </c>
    </row>
    <row r="24" spans="2:25" x14ac:dyDescent="0.35">
      <c r="B24" s="7" t="s">
        <v>43</v>
      </c>
      <c r="C24" s="97">
        <v>97.236970489676835</v>
      </c>
      <c r="D24" s="97">
        <v>22.298186964945778</v>
      </c>
      <c r="E24" s="97">
        <v>1.47</v>
      </c>
      <c r="F24" s="97">
        <v>2.1</v>
      </c>
      <c r="G24" s="98">
        <f>SUM(C24:F24)</f>
        <v>123.1051574546226</v>
      </c>
      <c r="H24" s="97">
        <v>80.053223631499563</v>
      </c>
      <c r="I24" s="97">
        <v>7.0445583627956996</v>
      </c>
      <c r="J24" s="97">
        <v>2.89</v>
      </c>
      <c r="K24" s="97">
        <v>8.4999999999999982</v>
      </c>
      <c r="L24" s="97">
        <v>1.6041187826078485</v>
      </c>
      <c r="M24" s="98">
        <f>SUM(H24:L24)</f>
        <v>100.09190077690312</v>
      </c>
      <c r="N24" s="97">
        <v>81.390103981210402</v>
      </c>
      <c r="O24" s="97">
        <f>I24</f>
        <v>7.0445583627956996</v>
      </c>
      <c r="P24" s="97">
        <f t="shared" ref="P24:R37" si="8">J24</f>
        <v>2.89</v>
      </c>
      <c r="Q24" s="97">
        <f t="shared" si="8"/>
        <v>8.4999999999999982</v>
      </c>
      <c r="R24" s="97">
        <f t="shared" si="8"/>
        <v>1.6041187826078485</v>
      </c>
      <c r="S24" s="98">
        <f>SUM(N24:R24)</f>
        <v>101.42878112661396</v>
      </c>
      <c r="T24" s="97">
        <f>'O&amp;M expenses'!N25</f>
        <v>89.500093382662072</v>
      </c>
      <c r="U24" s="97">
        <f>I24</f>
        <v>7.0445583627956996</v>
      </c>
      <c r="V24" s="97">
        <f t="shared" ref="V24:X37" si="9">J24</f>
        <v>2.89</v>
      </c>
      <c r="W24" s="97">
        <f t="shared" si="9"/>
        <v>8.4999999999999982</v>
      </c>
      <c r="X24" s="97">
        <f t="shared" si="9"/>
        <v>1.6041187826078485</v>
      </c>
      <c r="Y24" s="98">
        <f>SUM(T24:X24)</f>
        <v>109.53877052806561</v>
      </c>
    </row>
    <row r="25" spans="2:25" x14ac:dyDescent="0.35">
      <c r="B25" s="7" t="s">
        <v>150</v>
      </c>
      <c r="C25" s="97">
        <v>534.05721768272122</v>
      </c>
      <c r="D25" s="97">
        <v>92.241725111143055</v>
      </c>
      <c r="E25" s="97">
        <v>9.8699999999999992</v>
      </c>
      <c r="F25" s="97">
        <v>82.11</v>
      </c>
      <c r="G25" s="98">
        <f t="shared" ref="G25:G38" si="10">SUM(C25:F25)</f>
        <v>718.2789427938643</v>
      </c>
      <c r="H25" s="97">
        <v>473.57131831946447</v>
      </c>
      <c r="I25" s="97">
        <v>29.64679678728778</v>
      </c>
      <c r="J25" s="97">
        <v>13.309588274413752</v>
      </c>
      <c r="K25" s="97">
        <v>11.090000000000002</v>
      </c>
      <c r="L25" s="97">
        <v>58.528912104599996</v>
      </c>
      <c r="M25" s="98">
        <f t="shared" ref="M25:M38" si="11">SUM(H25:L25)</f>
        <v>586.14661548576601</v>
      </c>
      <c r="N25" s="97">
        <v>523.78750079853103</v>
      </c>
      <c r="O25" s="97">
        <f t="shared" ref="O25:O37" si="12">I25</f>
        <v>29.64679678728778</v>
      </c>
      <c r="P25" s="97">
        <f t="shared" si="8"/>
        <v>13.309588274413752</v>
      </c>
      <c r="Q25" s="97">
        <f t="shared" si="8"/>
        <v>11.090000000000002</v>
      </c>
      <c r="R25" s="97">
        <f t="shared" si="8"/>
        <v>58.528912104599996</v>
      </c>
      <c r="S25" s="98">
        <f t="shared" ref="S25:S38" si="13">SUM(N25:R25)</f>
        <v>636.36279796483257</v>
      </c>
      <c r="T25" s="97">
        <f>'O&amp;M expenses'!N26</f>
        <v>550.77326929188712</v>
      </c>
      <c r="U25" s="97">
        <f t="shared" ref="U25:U37" si="14">I25</f>
        <v>29.64679678728778</v>
      </c>
      <c r="V25" s="97">
        <f t="shared" si="9"/>
        <v>13.309588274413752</v>
      </c>
      <c r="W25" s="97">
        <f t="shared" si="9"/>
        <v>11.090000000000002</v>
      </c>
      <c r="X25" s="97">
        <f t="shared" si="9"/>
        <v>58.528912104599996</v>
      </c>
      <c r="Y25" s="98">
        <f t="shared" ref="Y25:Y38" si="15">SUM(T25:X25)</f>
        <v>663.34856645818866</v>
      </c>
    </row>
    <row r="26" spans="2:25" x14ac:dyDescent="0.35">
      <c r="B26" s="7" t="s">
        <v>151</v>
      </c>
      <c r="C26" s="97">
        <v>253.68068192827869</v>
      </c>
      <c r="D26" s="97">
        <v>37.228012239105006</v>
      </c>
      <c r="E26" s="97">
        <v>6.54</v>
      </c>
      <c r="F26" s="97">
        <v>34.01</v>
      </c>
      <c r="G26" s="98">
        <f t="shared" si="10"/>
        <v>331.45869416738373</v>
      </c>
      <c r="H26" s="97">
        <v>260.90543422657549</v>
      </c>
      <c r="I26" s="97">
        <v>15.42366486758738</v>
      </c>
      <c r="J26" s="97">
        <v>6.8234805681801234</v>
      </c>
      <c r="K26" s="97">
        <v>55.75</v>
      </c>
      <c r="L26" s="97">
        <v>32.001754072083649</v>
      </c>
      <c r="M26" s="98">
        <f t="shared" si="11"/>
        <v>370.90433373442664</v>
      </c>
      <c r="N26" s="97">
        <v>242.21238002814076</v>
      </c>
      <c r="O26" s="97">
        <f t="shared" si="12"/>
        <v>15.42366486758738</v>
      </c>
      <c r="P26" s="97">
        <f t="shared" si="8"/>
        <v>6.8234805681801234</v>
      </c>
      <c r="Q26" s="97">
        <f t="shared" si="8"/>
        <v>55.75</v>
      </c>
      <c r="R26" s="97">
        <f t="shared" si="8"/>
        <v>32.001754072083649</v>
      </c>
      <c r="S26" s="98">
        <f t="shared" si="13"/>
        <v>352.21127953599193</v>
      </c>
      <c r="T26" s="97">
        <f>'O&amp;M expenses'!N27</f>
        <v>257.57842088045771</v>
      </c>
      <c r="U26" s="97">
        <f t="shared" si="14"/>
        <v>15.42366486758738</v>
      </c>
      <c r="V26" s="97">
        <f t="shared" si="9"/>
        <v>6.8234805681801234</v>
      </c>
      <c r="W26" s="97">
        <f t="shared" si="9"/>
        <v>55.75</v>
      </c>
      <c r="X26" s="97">
        <f t="shared" si="9"/>
        <v>32.001754072083649</v>
      </c>
      <c r="Y26" s="98">
        <f t="shared" si="15"/>
        <v>367.57732038830886</v>
      </c>
    </row>
    <row r="27" spans="2:25" x14ac:dyDescent="0.35">
      <c r="B27" s="7" t="s">
        <v>44</v>
      </c>
      <c r="C27" s="97">
        <v>194.65939157121596</v>
      </c>
      <c r="D27" s="97">
        <v>30.642221376167505</v>
      </c>
      <c r="E27" s="97">
        <v>3.37</v>
      </c>
      <c r="F27" s="97">
        <v>3.65</v>
      </c>
      <c r="G27" s="98">
        <f t="shared" si="10"/>
        <v>232.32161294738347</v>
      </c>
      <c r="H27" s="97">
        <v>138.53038787231296</v>
      </c>
      <c r="I27" s="97">
        <v>11.18806580011436</v>
      </c>
      <c r="J27" s="97">
        <v>4.3093201992092096</v>
      </c>
      <c r="K27" s="97">
        <v>29.67</v>
      </c>
      <c r="L27" s="97">
        <v>8.4686452199999991</v>
      </c>
      <c r="M27" s="98">
        <f t="shared" si="11"/>
        <v>192.1664190916365</v>
      </c>
      <c r="N27" s="97">
        <v>175.61133070053194</v>
      </c>
      <c r="O27" s="97">
        <f t="shared" si="12"/>
        <v>11.18806580011436</v>
      </c>
      <c r="P27" s="97">
        <f t="shared" si="8"/>
        <v>4.3093201992092096</v>
      </c>
      <c r="Q27" s="97">
        <f t="shared" si="8"/>
        <v>29.67</v>
      </c>
      <c r="R27" s="97">
        <f t="shared" si="8"/>
        <v>8.4686452199999991</v>
      </c>
      <c r="S27" s="98">
        <f t="shared" si="13"/>
        <v>229.24736191985551</v>
      </c>
      <c r="T27" s="97">
        <f>'O&amp;M expenses'!N28</f>
        <v>163.11384698839461</v>
      </c>
      <c r="U27" s="97">
        <f t="shared" si="14"/>
        <v>11.18806580011436</v>
      </c>
      <c r="V27" s="97">
        <f t="shared" si="9"/>
        <v>4.3093201992092096</v>
      </c>
      <c r="W27" s="97">
        <f t="shared" si="9"/>
        <v>29.67</v>
      </c>
      <c r="X27" s="97">
        <f t="shared" si="9"/>
        <v>8.4686452199999991</v>
      </c>
      <c r="Y27" s="98">
        <f t="shared" si="15"/>
        <v>216.74987820771815</v>
      </c>
    </row>
    <row r="28" spans="2:25" x14ac:dyDescent="0.35">
      <c r="B28" s="7" t="s">
        <v>152</v>
      </c>
      <c r="C28" s="97">
        <v>264.54655014579504</v>
      </c>
      <c r="D28" s="97">
        <v>45.399271272749672</v>
      </c>
      <c r="E28" s="97">
        <v>58.47</v>
      </c>
      <c r="F28" s="97">
        <v>24.78</v>
      </c>
      <c r="G28" s="98">
        <f t="shared" si="10"/>
        <v>393.19582141854471</v>
      </c>
      <c r="H28" s="97">
        <v>167.35632807240324</v>
      </c>
      <c r="I28" s="97">
        <v>17.168225491114189</v>
      </c>
      <c r="J28" s="97">
        <v>7.250666554627629</v>
      </c>
      <c r="K28" s="97">
        <v>20.010000000000002</v>
      </c>
      <c r="L28" s="97">
        <v>12.519756217000001</v>
      </c>
      <c r="M28" s="98">
        <f t="shared" si="11"/>
        <v>224.30497633514506</v>
      </c>
      <c r="N28" s="97">
        <v>256.28675900639024</v>
      </c>
      <c r="O28" s="97">
        <f t="shared" si="12"/>
        <v>17.168225491114189</v>
      </c>
      <c r="P28" s="97">
        <f t="shared" si="8"/>
        <v>7.250666554627629</v>
      </c>
      <c r="Q28" s="97">
        <f t="shared" si="8"/>
        <v>20.010000000000002</v>
      </c>
      <c r="R28" s="97">
        <f t="shared" si="8"/>
        <v>12.519756217000001</v>
      </c>
      <c r="S28" s="98">
        <f t="shared" si="13"/>
        <v>313.23540726913205</v>
      </c>
      <c r="T28" s="97">
        <f>'O&amp;M expenses'!N29</f>
        <v>252.68557332592795</v>
      </c>
      <c r="U28" s="97">
        <f t="shared" si="14"/>
        <v>17.168225491114189</v>
      </c>
      <c r="V28" s="97">
        <f t="shared" si="9"/>
        <v>7.250666554627629</v>
      </c>
      <c r="W28" s="97">
        <f t="shared" si="9"/>
        <v>20.010000000000002</v>
      </c>
      <c r="X28" s="97">
        <f t="shared" si="9"/>
        <v>12.519756217000001</v>
      </c>
      <c r="Y28" s="98">
        <f t="shared" si="15"/>
        <v>309.63422158866979</v>
      </c>
    </row>
    <row r="29" spans="2:25" x14ac:dyDescent="0.35">
      <c r="B29" s="7" t="s">
        <v>154</v>
      </c>
      <c r="C29" s="97">
        <v>80.165360225727312</v>
      </c>
      <c r="D29" s="97">
        <v>12.734561653180062</v>
      </c>
      <c r="E29" s="97">
        <v>0.87</v>
      </c>
      <c r="F29" s="97">
        <v>0.11</v>
      </c>
      <c r="G29" s="98">
        <f t="shared" si="10"/>
        <v>93.879921878907382</v>
      </c>
      <c r="H29" s="97">
        <v>64.419688412054185</v>
      </c>
      <c r="I29" s="97">
        <v>6.171928036504414</v>
      </c>
      <c r="J29" s="97">
        <v>2.6605849894694709</v>
      </c>
      <c r="K29" s="97">
        <v>1.19</v>
      </c>
      <c r="L29" s="97">
        <v>4.2417614999999999E-2</v>
      </c>
      <c r="M29" s="98">
        <f t="shared" si="11"/>
        <v>74.484619053028069</v>
      </c>
      <c r="N29" s="97">
        <v>75.914782434871043</v>
      </c>
      <c r="O29" s="97">
        <f t="shared" si="12"/>
        <v>6.171928036504414</v>
      </c>
      <c r="P29" s="97">
        <f t="shared" si="8"/>
        <v>2.6605849894694709</v>
      </c>
      <c r="Q29" s="97">
        <f t="shared" si="8"/>
        <v>1.19</v>
      </c>
      <c r="R29" s="97">
        <f t="shared" si="8"/>
        <v>4.2417614999999999E-2</v>
      </c>
      <c r="S29" s="98">
        <f t="shared" si="13"/>
        <v>85.979713075844927</v>
      </c>
      <c r="T29" s="97">
        <f>'O&amp;M expenses'!N30</f>
        <v>84.479702340853265</v>
      </c>
      <c r="U29" s="97">
        <f t="shared" si="14"/>
        <v>6.171928036504414</v>
      </c>
      <c r="V29" s="97">
        <f t="shared" si="9"/>
        <v>2.6605849894694709</v>
      </c>
      <c r="W29" s="97">
        <f t="shared" si="9"/>
        <v>1.19</v>
      </c>
      <c r="X29" s="97">
        <f t="shared" si="9"/>
        <v>4.2417614999999999E-2</v>
      </c>
      <c r="Y29" s="98">
        <f t="shared" si="15"/>
        <v>94.544632981827149</v>
      </c>
    </row>
    <row r="30" spans="2:25" x14ac:dyDescent="0.35">
      <c r="B30" s="7" t="s">
        <v>155</v>
      </c>
      <c r="C30" s="97">
        <v>139.44999999999999</v>
      </c>
      <c r="D30" s="97">
        <v>28.721365707810737</v>
      </c>
      <c r="E30" s="97">
        <v>4.83</v>
      </c>
      <c r="F30" s="97">
        <v>19.16</v>
      </c>
      <c r="G30" s="98">
        <f t="shared" si="10"/>
        <v>192.16136570781075</v>
      </c>
      <c r="H30" s="97">
        <v>142.5352865481812</v>
      </c>
      <c r="I30" s="97">
        <v>9.4657358346411584</v>
      </c>
      <c r="J30" s="97">
        <v>4.1873986147838327</v>
      </c>
      <c r="K30" s="97">
        <v>5.330000000000001</v>
      </c>
      <c r="L30" s="97">
        <v>10.831876694000002</v>
      </c>
      <c r="M30" s="98">
        <f t="shared" si="11"/>
        <v>172.35029769160622</v>
      </c>
      <c r="N30" s="97">
        <v>139.44999999999999</v>
      </c>
      <c r="O30" s="97">
        <f t="shared" si="12"/>
        <v>9.4657358346411584</v>
      </c>
      <c r="P30" s="97">
        <f t="shared" si="8"/>
        <v>4.1873986147838327</v>
      </c>
      <c r="Q30" s="97">
        <f t="shared" si="8"/>
        <v>5.330000000000001</v>
      </c>
      <c r="R30" s="97">
        <f t="shared" si="8"/>
        <v>10.831876694000002</v>
      </c>
      <c r="S30" s="98">
        <f t="shared" si="13"/>
        <v>169.265011143425</v>
      </c>
      <c r="T30" s="97">
        <f>'O&amp;M expenses'!I36</f>
        <v>139.44999999999999</v>
      </c>
      <c r="U30" s="97">
        <f t="shared" si="14"/>
        <v>9.4657358346411584</v>
      </c>
      <c r="V30" s="97">
        <f t="shared" si="9"/>
        <v>4.1873986147838327</v>
      </c>
      <c r="W30" s="97">
        <f t="shared" si="9"/>
        <v>5.330000000000001</v>
      </c>
      <c r="X30" s="97">
        <f t="shared" si="9"/>
        <v>10.831876694000002</v>
      </c>
      <c r="Y30" s="98">
        <f t="shared" si="15"/>
        <v>169.265011143425</v>
      </c>
    </row>
    <row r="31" spans="2:25" x14ac:dyDescent="0.35">
      <c r="B31" s="7" t="s">
        <v>156</v>
      </c>
      <c r="C31" s="97">
        <v>139.44999999999999</v>
      </c>
      <c r="D31" s="97">
        <v>26.282183906722775</v>
      </c>
      <c r="E31" s="97">
        <v>19.899999999999999</v>
      </c>
      <c r="F31" s="97">
        <v>9.64</v>
      </c>
      <c r="G31" s="98">
        <f t="shared" si="10"/>
        <v>195.27218390672277</v>
      </c>
      <c r="H31" s="97">
        <v>136.42330220116267</v>
      </c>
      <c r="I31" s="97">
        <v>11.543328327102856</v>
      </c>
      <c r="J31" s="97">
        <v>4.4929669869376792</v>
      </c>
      <c r="K31" s="97">
        <v>9.3099999999999987</v>
      </c>
      <c r="L31" s="97">
        <v>7.673290691849119</v>
      </c>
      <c r="M31" s="98">
        <f t="shared" si="11"/>
        <v>169.44288820705233</v>
      </c>
      <c r="N31" s="97">
        <v>139.44999999999999</v>
      </c>
      <c r="O31" s="97">
        <f t="shared" si="12"/>
        <v>11.543328327102856</v>
      </c>
      <c r="P31" s="97">
        <f t="shared" si="8"/>
        <v>4.4929669869376792</v>
      </c>
      <c r="Q31" s="97">
        <f t="shared" si="8"/>
        <v>9.3099999999999987</v>
      </c>
      <c r="R31" s="97">
        <f t="shared" si="8"/>
        <v>7.673290691849119</v>
      </c>
      <c r="S31" s="98">
        <f t="shared" si="13"/>
        <v>172.46958600588968</v>
      </c>
      <c r="T31" s="97">
        <f>'O&amp;M expenses'!I37</f>
        <v>139.44999999999999</v>
      </c>
      <c r="U31" s="97">
        <f t="shared" si="14"/>
        <v>11.543328327102856</v>
      </c>
      <c r="V31" s="97">
        <f t="shared" si="9"/>
        <v>4.4929669869376792</v>
      </c>
      <c r="W31" s="97">
        <f t="shared" si="9"/>
        <v>9.3099999999999987</v>
      </c>
      <c r="X31" s="97">
        <f t="shared" si="9"/>
        <v>7.673290691849119</v>
      </c>
      <c r="Y31" s="98">
        <f t="shared" si="15"/>
        <v>172.46958600588968</v>
      </c>
    </row>
    <row r="32" spans="2:25" x14ac:dyDescent="0.35">
      <c r="B32" s="7" t="s">
        <v>8</v>
      </c>
      <c r="C32" s="97">
        <v>92.7</v>
      </c>
      <c r="D32" s="97">
        <v>19.137413881035954</v>
      </c>
      <c r="E32" s="97">
        <v>4.58</v>
      </c>
      <c r="F32" s="97">
        <v>21.23</v>
      </c>
      <c r="G32" s="98">
        <f t="shared" si="10"/>
        <v>137.64741388103596</v>
      </c>
      <c r="H32" s="97">
        <v>111.7426662292205</v>
      </c>
      <c r="I32" s="97">
        <v>5.7868562456993162</v>
      </c>
      <c r="J32" s="97">
        <v>2.5264155834405488</v>
      </c>
      <c r="K32" s="97">
        <v>23.15</v>
      </c>
      <c r="L32" s="97">
        <v>13.252278791764574</v>
      </c>
      <c r="M32" s="98">
        <f t="shared" si="11"/>
        <v>156.45821685012496</v>
      </c>
      <c r="N32" s="97">
        <v>92.7</v>
      </c>
      <c r="O32" s="97">
        <f t="shared" si="12"/>
        <v>5.7868562456993162</v>
      </c>
      <c r="P32" s="97">
        <f t="shared" si="8"/>
        <v>2.5264155834405488</v>
      </c>
      <c r="Q32" s="97">
        <f t="shared" si="8"/>
        <v>23.15</v>
      </c>
      <c r="R32" s="97">
        <f t="shared" si="8"/>
        <v>13.252278791764574</v>
      </c>
      <c r="S32" s="98">
        <f t="shared" si="13"/>
        <v>137.41555062090444</v>
      </c>
      <c r="T32" s="97">
        <f>'O&amp;M expenses'!I38</f>
        <v>92.7</v>
      </c>
      <c r="U32" s="97">
        <f t="shared" si="14"/>
        <v>5.7868562456993162</v>
      </c>
      <c r="V32" s="97">
        <f t="shared" si="9"/>
        <v>2.5264155834405488</v>
      </c>
      <c r="W32" s="97">
        <f t="shared" si="9"/>
        <v>23.15</v>
      </c>
      <c r="X32" s="97">
        <f t="shared" si="9"/>
        <v>13.252278791764574</v>
      </c>
      <c r="Y32" s="98">
        <f t="shared" si="15"/>
        <v>137.41555062090444</v>
      </c>
    </row>
    <row r="33" spans="2:25" x14ac:dyDescent="0.35">
      <c r="B33" s="7" t="s">
        <v>157</v>
      </c>
      <c r="C33" s="97">
        <v>185.4</v>
      </c>
      <c r="D33" s="97">
        <v>36.801155423914608</v>
      </c>
      <c r="E33" s="97">
        <v>12.25</v>
      </c>
      <c r="F33" s="97">
        <v>52.81</v>
      </c>
      <c r="G33" s="98">
        <f t="shared" si="10"/>
        <v>287.2611554239146</v>
      </c>
      <c r="H33" s="97">
        <v>181.59684167602398</v>
      </c>
      <c r="I33" s="97">
        <v>14.53418615016418</v>
      </c>
      <c r="J33" s="97">
        <v>6.4020771237825409</v>
      </c>
      <c r="K33" s="97">
        <v>5.22</v>
      </c>
      <c r="L33" s="97">
        <v>29.44584247239214</v>
      </c>
      <c r="M33" s="98">
        <f t="shared" si="11"/>
        <v>237.19894742236283</v>
      </c>
      <c r="N33" s="97">
        <v>185.4</v>
      </c>
      <c r="O33" s="97">
        <f t="shared" si="12"/>
        <v>14.53418615016418</v>
      </c>
      <c r="P33" s="97">
        <f t="shared" si="8"/>
        <v>6.4020771237825409</v>
      </c>
      <c r="Q33" s="97">
        <f t="shared" si="8"/>
        <v>5.22</v>
      </c>
      <c r="R33" s="97">
        <f t="shared" si="8"/>
        <v>29.44584247239214</v>
      </c>
      <c r="S33" s="98">
        <f t="shared" si="13"/>
        <v>241.00210574633886</v>
      </c>
      <c r="T33" s="97">
        <f>'O&amp;M expenses'!I39</f>
        <v>185.4</v>
      </c>
      <c r="U33" s="97">
        <f t="shared" si="14"/>
        <v>14.53418615016418</v>
      </c>
      <c r="V33" s="97">
        <f t="shared" si="9"/>
        <v>6.4020771237825409</v>
      </c>
      <c r="W33" s="97">
        <f t="shared" si="9"/>
        <v>5.22</v>
      </c>
      <c r="X33" s="97">
        <f t="shared" si="9"/>
        <v>29.44584247239214</v>
      </c>
      <c r="Y33" s="98">
        <f t="shared" si="15"/>
        <v>241.00210574633886</v>
      </c>
    </row>
    <row r="34" spans="2:25" x14ac:dyDescent="0.35">
      <c r="B34" s="7" t="s">
        <v>158</v>
      </c>
      <c r="C34" s="97">
        <v>286.90859999999998</v>
      </c>
      <c r="D34" s="97">
        <v>45.317965212713403</v>
      </c>
      <c r="E34" s="97">
        <v>39.770000000000003</v>
      </c>
      <c r="F34" s="97">
        <v>55.84</v>
      </c>
      <c r="G34" s="98">
        <f t="shared" si="10"/>
        <v>427.83656521271337</v>
      </c>
      <c r="H34" s="97">
        <v>327.19381096612739</v>
      </c>
      <c r="I34" s="97">
        <v>19.952877994585435</v>
      </c>
      <c r="J34" s="97">
        <v>9.2152310075439754</v>
      </c>
      <c r="K34" s="97">
        <v>81.8</v>
      </c>
      <c r="L34" s="97">
        <v>17.499969102000001</v>
      </c>
      <c r="M34" s="98">
        <f t="shared" si="11"/>
        <v>455.66188907025685</v>
      </c>
      <c r="N34" s="97">
        <v>286.90859999999998</v>
      </c>
      <c r="O34" s="97">
        <f t="shared" si="12"/>
        <v>19.952877994585435</v>
      </c>
      <c r="P34" s="97">
        <f t="shared" si="8"/>
        <v>9.2152310075439754</v>
      </c>
      <c r="Q34" s="97">
        <f t="shared" si="8"/>
        <v>81.8</v>
      </c>
      <c r="R34" s="97">
        <f t="shared" si="8"/>
        <v>17.499969102000001</v>
      </c>
      <c r="S34" s="98">
        <f t="shared" si="13"/>
        <v>415.37667810412944</v>
      </c>
      <c r="T34" s="97">
        <f>'O&amp;M expenses'!I40</f>
        <v>296.80200000000002</v>
      </c>
      <c r="U34" s="97">
        <f t="shared" si="14"/>
        <v>19.952877994585435</v>
      </c>
      <c r="V34" s="97">
        <f t="shared" si="9"/>
        <v>9.2152310075439754</v>
      </c>
      <c r="W34" s="97">
        <f t="shared" si="9"/>
        <v>81.8</v>
      </c>
      <c r="X34" s="97">
        <f t="shared" si="9"/>
        <v>17.499969102000001</v>
      </c>
      <c r="Y34" s="98">
        <f t="shared" si="15"/>
        <v>425.27007810412948</v>
      </c>
    </row>
    <row r="35" spans="2:25" x14ac:dyDescent="0.35">
      <c r="B35" s="7" t="s">
        <v>159</v>
      </c>
      <c r="C35" s="97">
        <v>185.4</v>
      </c>
      <c r="D35" s="97">
        <v>34.118055442717846</v>
      </c>
      <c r="E35" s="97">
        <v>3.86</v>
      </c>
      <c r="F35" s="97">
        <v>32.07</v>
      </c>
      <c r="G35" s="98">
        <f t="shared" si="10"/>
        <v>255.44805544271787</v>
      </c>
      <c r="H35" s="97">
        <v>257.20706778566466</v>
      </c>
      <c r="I35" s="97">
        <v>11.166686098998396</v>
      </c>
      <c r="J35" s="97">
        <v>5.0974615679238289</v>
      </c>
      <c r="K35" s="97">
        <v>5.7900000000000009</v>
      </c>
      <c r="L35" s="97">
        <v>39.0192747364</v>
      </c>
      <c r="M35" s="98">
        <f t="shared" si="11"/>
        <v>318.2804901889869</v>
      </c>
      <c r="N35" s="97">
        <v>185.4</v>
      </c>
      <c r="O35" s="97">
        <f t="shared" si="12"/>
        <v>11.166686098998396</v>
      </c>
      <c r="P35" s="97">
        <f t="shared" si="8"/>
        <v>5.0974615679238289</v>
      </c>
      <c r="Q35" s="97">
        <f t="shared" si="8"/>
        <v>5.7900000000000009</v>
      </c>
      <c r="R35" s="97">
        <f t="shared" si="8"/>
        <v>39.0192747364</v>
      </c>
      <c r="S35" s="98">
        <f t="shared" si="13"/>
        <v>246.47342240332222</v>
      </c>
      <c r="T35" s="97">
        <f>'O&amp;M expenses'!I41</f>
        <v>185.4</v>
      </c>
      <c r="U35" s="97">
        <f t="shared" si="14"/>
        <v>11.166686098998396</v>
      </c>
      <c r="V35" s="97">
        <f t="shared" si="9"/>
        <v>5.0974615679238289</v>
      </c>
      <c r="W35" s="97">
        <f t="shared" si="9"/>
        <v>5.7900000000000009</v>
      </c>
      <c r="X35" s="97">
        <f t="shared" si="9"/>
        <v>39.0192747364</v>
      </c>
      <c r="Y35" s="98">
        <f t="shared" si="15"/>
        <v>246.47342240332222</v>
      </c>
    </row>
    <row r="36" spans="2:25" x14ac:dyDescent="0.35">
      <c r="B36" s="7" t="s">
        <v>160</v>
      </c>
      <c r="C36" s="97">
        <v>69.724999999999994</v>
      </c>
      <c r="D36" s="97">
        <v>13.537458996038183</v>
      </c>
      <c r="E36" s="97">
        <v>17.5</v>
      </c>
      <c r="F36" s="97">
        <v>7.87</v>
      </c>
      <c r="G36" s="98">
        <f t="shared" si="10"/>
        <v>108.63245899603818</v>
      </c>
      <c r="H36" s="97">
        <v>83.732009390408251</v>
      </c>
      <c r="I36" s="97">
        <v>4.8853588596601174</v>
      </c>
      <c r="J36" s="97">
        <v>2.41407798523807</v>
      </c>
      <c r="K36" s="97">
        <v>5.3</v>
      </c>
      <c r="L36" s="97">
        <v>7.7034642161508922</v>
      </c>
      <c r="M36" s="98">
        <f t="shared" si="11"/>
        <v>104.03491045145732</v>
      </c>
      <c r="N36" s="97">
        <v>69.724999999999994</v>
      </c>
      <c r="O36" s="97">
        <f t="shared" si="12"/>
        <v>4.8853588596601174</v>
      </c>
      <c r="P36" s="97">
        <f t="shared" si="8"/>
        <v>2.41407798523807</v>
      </c>
      <c r="Q36" s="97">
        <f t="shared" si="8"/>
        <v>5.3</v>
      </c>
      <c r="R36" s="97">
        <f t="shared" si="8"/>
        <v>7.7034642161508922</v>
      </c>
      <c r="S36" s="98">
        <f t="shared" si="13"/>
        <v>90.027901061049064</v>
      </c>
      <c r="T36" s="97">
        <f>'O&amp;M expenses'!I42</f>
        <v>69.724999999999994</v>
      </c>
      <c r="U36" s="97">
        <f t="shared" si="14"/>
        <v>4.8853588596601174</v>
      </c>
      <c r="V36" s="97">
        <f t="shared" si="9"/>
        <v>2.41407798523807</v>
      </c>
      <c r="W36" s="97">
        <f t="shared" si="9"/>
        <v>5.3</v>
      </c>
      <c r="X36" s="97">
        <f t="shared" si="9"/>
        <v>7.7034642161508922</v>
      </c>
      <c r="Y36" s="98">
        <f t="shared" si="15"/>
        <v>90.027901061049064</v>
      </c>
    </row>
    <row r="37" spans="2:25" x14ac:dyDescent="0.35">
      <c r="B37" s="7" t="s">
        <v>161</v>
      </c>
      <c r="C37" s="97">
        <v>190.92803656668346</v>
      </c>
      <c r="D37" s="97">
        <v>50.643512145088792</v>
      </c>
      <c r="E37" s="97">
        <v>0</v>
      </c>
      <c r="F37" s="97">
        <v>0.61</v>
      </c>
      <c r="G37" s="98">
        <f t="shared" si="10"/>
        <v>242.18154871177228</v>
      </c>
      <c r="H37" s="97">
        <v>180.28068629409111</v>
      </c>
      <c r="I37" s="97">
        <v>22.067129790686472</v>
      </c>
      <c r="J37" s="97">
        <f>5.31+0.32+0.32+3.97</f>
        <v>9.92</v>
      </c>
      <c r="K37" s="97">
        <v>0</v>
      </c>
      <c r="L37" s="97">
        <v>0.29384309300000006</v>
      </c>
      <c r="M37" s="98">
        <f t="shared" si="11"/>
        <v>212.56165917777756</v>
      </c>
      <c r="N37" s="97">
        <v>186.9787231823978</v>
      </c>
      <c r="O37" s="97">
        <f t="shared" si="12"/>
        <v>22.067129790686472</v>
      </c>
      <c r="P37" s="97">
        <f t="shared" si="8"/>
        <v>9.92</v>
      </c>
      <c r="Q37" s="97">
        <f t="shared" si="8"/>
        <v>0</v>
      </c>
      <c r="R37" s="97">
        <f t="shared" si="8"/>
        <v>0.29384309300000006</v>
      </c>
      <c r="S37" s="98">
        <f t="shared" si="13"/>
        <v>219.25969606608425</v>
      </c>
      <c r="T37" s="97">
        <f>'O&amp;M expenses'!N31</f>
        <v>201.79539859499931</v>
      </c>
      <c r="U37" s="97">
        <f t="shared" si="14"/>
        <v>22.067129790686472</v>
      </c>
      <c r="V37" s="97">
        <f t="shared" si="9"/>
        <v>9.92</v>
      </c>
      <c r="W37" s="97">
        <f t="shared" si="9"/>
        <v>0</v>
      </c>
      <c r="X37" s="97">
        <f t="shared" si="9"/>
        <v>0.29384309300000006</v>
      </c>
      <c r="Y37" s="98">
        <f t="shared" si="15"/>
        <v>234.07637147868576</v>
      </c>
    </row>
    <row r="38" spans="2:25" x14ac:dyDescent="0.35">
      <c r="B38" s="12" t="s">
        <v>27</v>
      </c>
      <c r="C38" s="98">
        <f>SUM(C24:C37)</f>
        <v>2714.3078086100986</v>
      </c>
      <c r="D38" s="98">
        <f>SUM(D24:D37)</f>
        <v>495.1030893333334</v>
      </c>
      <c r="E38" s="98">
        <f>SUM(E24:E37)</f>
        <v>183.28</v>
      </c>
      <c r="F38" s="98">
        <f>SUM(F24:F37)</f>
        <v>345.99</v>
      </c>
      <c r="G38" s="98">
        <f t="shared" si="10"/>
        <v>3738.6808979434327</v>
      </c>
      <c r="H38" s="98">
        <f>SUM(H24:H37)</f>
        <v>2605.5480516251896</v>
      </c>
      <c r="I38" s="98">
        <f>SUM(I24:I37)</f>
        <v>186.04539864694172</v>
      </c>
      <c r="J38" s="98">
        <f>SUM(J24:J37)</f>
        <v>81.49926945555066</v>
      </c>
      <c r="K38" s="98">
        <f>SUM(K24:K37)</f>
        <v>262.11000000000007</v>
      </c>
      <c r="L38" s="98">
        <f>SUM(L24:L37)</f>
        <v>238.88544380884824</v>
      </c>
      <c r="M38" s="98">
        <f t="shared" si="11"/>
        <v>3374.0881635365304</v>
      </c>
      <c r="N38" s="98">
        <f>SUM(N24:N37)</f>
        <v>2641.2151801320738</v>
      </c>
      <c r="O38" s="98">
        <f>SUM(O24:O37)</f>
        <v>186.04539864694172</v>
      </c>
      <c r="P38" s="98">
        <f>SUM(P24:P37)</f>
        <v>81.49926945555066</v>
      </c>
      <c r="Q38" s="98">
        <f>SUM(Q24:Q37)</f>
        <v>262.11000000000007</v>
      </c>
      <c r="R38" s="98">
        <f>SUM(R24:R37)</f>
        <v>238.88544380884824</v>
      </c>
      <c r="S38" s="98">
        <f t="shared" si="13"/>
        <v>3409.7552920434146</v>
      </c>
      <c r="T38" s="98">
        <f>SUM(T24:T37)</f>
        <v>2708.8533048051822</v>
      </c>
      <c r="U38" s="98">
        <f>SUM(U24:U37)</f>
        <v>186.04539864694172</v>
      </c>
      <c r="V38" s="98">
        <f>SUM(V24:V37)</f>
        <v>81.49926945555066</v>
      </c>
      <c r="W38" s="98">
        <f>SUM(W24:W37)</f>
        <v>262.11000000000007</v>
      </c>
      <c r="X38" s="98">
        <f>SUM(X24:X37)</f>
        <v>238.88544380884824</v>
      </c>
      <c r="Y38" s="98">
        <f t="shared" si="15"/>
        <v>3477.393416716523</v>
      </c>
    </row>
    <row r="40" spans="2:25" x14ac:dyDescent="0.35">
      <c r="B40" s="3" t="s">
        <v>246</v>
      </c>
      <c r="T40" s="91"/>
      <c r="Y40" s="120" t="s">
        <v>164</v>
      </c>
    </row>
    <row r="41" spans="2:25" x14ac:dyDescent="0.35">
      <c r="B41" s="187" t="s">
        <v>170</v>
      </c>
      <c r="C41" s="152" t="s">
        <v>172</v>
      </c>
      <c r="D41" s="162"/>
      <c r="E41" s="162"/>
      <c r="F41" s="162"/>
      <c r="G41" s="153"/>
      <c r="H41" s="152" t="s">
        <v>237</v>
      </c>
      <c r="I41" s="162"/>
      <c r="J41" s="162"/>
      <c r="K41" s="162"/>
      <c r="L41" s="162"/>
      <c r="M41" s="153"/>
      <c r="N41" s="152" t="s">
        <v>131</v>
      </c>
      <c r="O41" s="162"/>
      <c r="P41" s="162"/>
      <c r="Q41" s="162"/>
      <c r="R41" s="162"/>
      <c r="S41" s="153"/>
      <c r="T41" s="152" t="s">
        <v>132</v>
      </c>
      <c r="U41" s="162"/>
      <c r="V41" s="162"/>
      <c r="W41" s="162"/>
      <c r="X41" s="162"/>
      <c r="Y41" s="153"/>
    </row>
    <row r="42" spans="2:25" ht="45" x14ac:dyDescent="0.35">
      <c r="B42" s="187"/>
      <c r="C42" s="96" t="s">
        <v>238</v>
      </c>
      <c r="D42" s="96" t="s">
        <v>239</v>
      </c>
      <c r="E42" s="96" t="s">
        <v>240</v>
      </c>
      <c r="F42" s="96" t="s">
        <v>241</v>
      </c>
      <c r="G42" s="96" t="s">
        <v>242</v>
      </c>
      <c r="H42" s="96" t="s">
        <v>243</v>
      </c>
      <c r="I42" s="96" t="s">
        <v>239</v>
      </c>
      <c r="J42" s="96" t="s">
        <v>244</v>
      </c>
      <c r="K42" s="96" t="s">
        <v>240</v>
      </c>
      <c r="L42" s="96" t="s">
        <v>241</v>
      </c>
      <c r="M42" s="96" t="s">
        <v>242</v>
      </c>
      <c r="N42" s="96" t="s">
        <v>238</v>
      </c>
      <c r="O42" s="96" t="s">
        <v>239</v>
      </c>
      <c r="P42" s="96" t="s">
        <v>244</v>
      </c>
      <c r="Q42" s="96" t="s">
        <v>240</v>
      </c>
      <c r="R42" s="96" t="s">
        <v>241</v>
      </c>
      <c r="S42" s="96" t="s">
        <v>242</v>
      </c>
      <c r="T42" s="96" t="s">
        <v>238</v>
      </c>
      <c r="U42" s="96" t="s">
        <v>239</v>
      </c>
      <c r="V42" s="96" t="s">
        <v>244</v>
      </c>
      <c r="W42" s="96" t="s">
        <v>240</v>
      </c>
      <c r="X42" s="96" t="s">
        <v>241</v>
      </c>
      <c r="Y42" s="96" t="s">
        <v>242</v>
      </c>
    </row>
    <row r="43" spans="2:25" x14ac:dyDescent="0.35">
      <c r="B43" s="7" t="s">
        <v>43</v>
      </c>
      <c r="C43" s="9">
        <v>99.29839426405799</v>
      </c>
      <c r="D43" s="9">
        <v>12.410262602155397</v>
      </c>
      <c r="E43" s="9">
        <v>1.47</v>
      </c>
      <c r="F43" s="9">
        <v>2.1</v>
      </c>
      <c r="G43" s="13">
        <f>SUM(C43:F43)</f>
        <v>115.27865686621338</v>
      </c>
      <c r="H43" s="9">
        <v>99.066403601336035</v>
      </c>
      <c r="I43" s="9">
        <v>7.321935354121881</v>
      </c>
      <c r="J43" s="9">
        <v>0</v>
      </c>
      <c r="K43" s="9">
        <v>11.26</v>
      </c>
      <c r="L43" s="9">
        <v>3.7387613266099149</v>
      </c>
      <c r="M43" s="13">
        <f>SUM(H43:L43)</f>
        <v>121.38710028206783</v>
      </c>
      <c r="N43" s="9">
        <v>84.594810508345162</v>
      </c>
      <c r="O43" s="9">
        <f>I43</f>
        <v>7.321935354121881</v>
      </c>
      <c r="P43" s="9">
        <f>J43</f>
        <v>0</v>
      </c>
      <c r="Q43" s="9">
        <f>K43</f>
        <v>11.26</v>
      </c>
      <c r="R43" s="9">
        <f>L43</f>
        <v>3.7387613266099149</v>
      </c>
      <c r="S43" s="13">
        <f>SUM(N43:R43)</f>
        <v>106.91550718907696</v>
      </c>
      <c r="T43" s="9">
        <f>'O&amp;M expenses'!O25</f>
        <v>93.024127871041685</v>
      </c>
      <c r="U43" s="9">
        <f>I43</f>
        <v>7.321935354121881</v>
      </c>
      <c r="V43" s="9">
        <f t="shared" ref="V43:X56" si="16">J43</f>
        <v>0</v>
      </c>
      <c r="W43" s="9">
        <f t="shared" si="16"/>
        <v>11.26</v>
      </c>
      <c r="X43" s="9">
        <f t="shared" si="16"/>
        <v>3.7387613266099149</v>
      </c>
      <c r="Y43" s="13">
        <f>SUM(T43:X43)</f>
        <v>115.34482455177348</v>
      </c>
    </row>
    <row r="44" spans="2:25" x14ac:dyDescent="0.35">
      <c r="B44" s="7" t="s">
        <v>150</v>
      </c>
      <c r="C44" s="9">
        <v>545.37923069759495</v>
      </c>
      <c r="D44" s="9">
        <v>48.134751584850669</v>
      </c>
      <c r="E44" s="9">
        <v>9.8699999999999992</v>
      </c>
      <c r="F44" s="9">
        <v>82.11</v>
      </c>
      <c r="G44" s="13">
        <f t="shared" ref="G44:G57" si="17">SUM(C44:F44)</f>
        <v>685.49398228244559</v>
      </c>
      <c r="H44" s="9">
        <v>599.56465979606537</v>
      </c>
      <c r="I44" s="9">
        <v>30.814128913989485</v>
      </c>
      <c r="J44" s="9">
        <v>0</v>
      </c>
      <c r="K44" s="9">
        <v>10.969999999999999</v>
      </c>
      <c r="L44" s="97">
        <v>46.503103609319339</v>
      </c>
      <c r="M44" s="13">
        <f t="shared" ref="M44:M57" si="18">SUM(H44:L44)</f>
        <v>687.8518923193742</v>
      </c>
      <c r="N44" s="9">
        <v>544.4114481893364</v>
      </c>
      <c r="O44" s="9">
        <f t="shared" ref="O44:R56" si="19">I44</f>
        <v>30.814128913989485</v>
      </c>
      <c r="P44" s="9">
        <f t="shared" si="19"/>
        <v>0</v>
      </c>
      <c r="Q44" s="9">
        <f t="shared" si="19"/>
        <v>10.969999999999999</v>
      </c>
      <c r="R44" s="9">
        <f t="shared" si="19"/>
        <v>46.503103609319339</v>
      </c>
      <c r="S44" s="13">
        <f t="shared" ref="S44:S57" si="20">SUM(N44:R44)</f>
        <v>632.69868071264523</v>
      </c>
      <c r="T44" s="9">
        <f>'O&amp;M expenses'!O26</f>
        <v>572.45977176248903</v>
      </c>
      <c r="U44" s="9">
        <f t="shared" ref="U44:U56" si="21">I44</f>
        <v>30.814128913989485</v>
      </c>
      <c r="V44" s="9">
        <f t="shared" si="16"/>
        <v>0</v>
      </c>
      <c r="W44" s="9">
        <f t="shared" si="16"/>
        <v>10.969999999999999</v>
      </c>
      <c r="X44" s="9">
        <f t="shared" si="16"/>
        <v>46.503103609319339</v>
      </c>
      <c r="Y44" s="13">
        <f t="shared" ref="Y44:Y57" si="22">SUM(T44:X44)</f>
        <v>660.74700428579786</v>
      </c>
    </row>
    <row r="45" spans="2:25" x14ac:dyDescent="0.35">
      <c r="B45" s="7" t="s">
        <v>151</v>
      </c>
      <c r="C45" s="9">
        <v>259.05871238515823</v>
      </c>
      <c r="D45" s="9">
        <v>20.035847361757163</v>
      </c>
      <c r="E45" s="9">
        <v>6.54</v>
      </c>
      <c r="F45" s="9">
        <v>34.01</v>
      </c>
      <c r="G45" s="13">
        <f t="shared" si="17"/>
        <v>319.64455974691538</v>
      </c>
      <c r="H45" s="9">
        <v>298.77702209644553</v>
      </c>
      <c r="I45" s="9">
        <v>16.030966210818338</v>
      </c>
      <c r="J45" s="9">
        <v>0</v>
      </c>
      <c r="K45" s="9">
        <v>60.089999999999996</v>
      </c>
      <c r="L45" s="97">
        <v>28.924553891728827</v>
      </c>
      <c r="M45" s="13">
        <f t="shared" si="18"/>
        <v>403.82254219899266</v>
      </c>
      <c r="N45" s="9">
        <v>251.74940673360149</v>
      </c>
      <c r="O45" s="9">
        <f t="shared" si="19"/>
        <v>16.030966210818338</v>
      </c>
      <c r="P45" s="9">
        <f t="shared" si="19"/>
        <v>0</v>
      </c>
      <c r="Q45" s="9">
        <f t="shared" si="19"/>
        <v>60.089999999999996</v>
      </c>
      <c r="R45" s="9">
        <f t="shared" si="19"/>
        <v>28.924553891728827</v>
      </c>
      <c r="S45" s="13">
        <f t="shared" si="20"/>
        <v>356.79492683614859</v>
      </c>
      <c r="T45" s="9">
        <f>'O&amp;M expenses'!O27</f>
        <v>267.72048000395057</v>
      </c>
      <c r="U45" s="9">
        <f t="shared" si="21"/>
        <v>16.030966210818338</v>
      </c>
      <c r="V45" s="9">
        <f t="shared" si="16"/>
        <v>0</v>
      </c>
      <c r="W45" s="9">
        <f t="shared" si="16"/>
        <v>60.089999999999996</v>
      </c>
      <c r="X45" s="9">
        <f t="shared" si="16"/>
        <v>28.924553891728827</v>
      </c>
      <c r="Y45" s="13">
        <f t="shared" si="22"/>
        <v>372.7660001064977</v>
      </c>
    </row>
    <row r="46" spans="2:25" x14ac:dyDescent="0.35">
      <c r="B46" s="7" t="s">
        <v>44</v>
      </c>
      <c r="C46" s="9">
        <v>198.78617067252577</v>
      </c>
      <c r="D46" s="9">
        <v>16.67207682110233</v>
      </c>
      <c r="E46" s="9">
        <v>3.37</v>
      </c>
      <c r="F46" s="9">
        <v>3.65</v>
      </c>
      <c r="G46" s="13">
        <f t="shared" si="17"/>
        <v>222.47824749362812</v>
      </c>
      <c r="H46" s="9">
        <v>155.69267466357999</v>
      </c>
      <c r="I46" s="9">
        <v>11.62859192972733</v>
      </c>
      <c r="J46" s="9">
        <v>0</v>
      </c>
      <c r="K46" s="9">
        <v>38.730000000000004</v>
      </c>
      <c r="L46" s="97">
        <v>13.395261070082189</v>
      </c>
      <c r="M46" s="13">
        <f t="shared" si="18"/>
        <v>219.44652766338953</v>
      </c>
      <c r="N46" s="9">
        <v>182.52596466960438</v>
      </c>
      <c r="O46" s="9">
        <f t="shared" si="19"/>
        <v>11.62859192972733</v>
      </c>
      <c r="P46" s="9">
        <f t="shared" si="19"/>
        <v>0</v>
      </c>
      <c r="Q46" s="9">
        <f t="shared" si="19"/>
        <v>38.730000000000004</v>
      </c>
      <c r="R46" s="9">
        <f t="shared" si="19"/>
        <v>13.395261070082189</v>
      </c>
      <c r="S46" s="13">
        <f t="shared" si="20"/>
        <v>246.27981766941389</v>
      </c>
      <c r="T46" s="9">
        <f>'O&amp;M expenses'!O28</f>
        <v>169.53639696118304</v>
      </c>
      <c r="U46" s="9">
        <f t="shared" si="21"/>
        <v>11.62859192972733</v>
      </c>
      <c r="V46" s="9">
        <f t="shared" si="16"/>
        <v>0</v>
      </c>
      <c r="W46" s="9">
        <f t="shared" si="16"/>
        <v>38.730000000000004</v>
      </c>
      <c r="X46" s="9">
        <f t="shared" si="16"/>
        <v>13.395261070082189</v>
      </c>
      <c r="Y46" s="13">
        <f t="shared" si="22"/>
        <v>233.29024996099258</v>
      </c>
    </row>
    <row r="47" spans="2:25" x14ac:dyDescent="0.35">
      <c r="B47" s="7" t="s">
        <v>152</v>
      </c>
      <c r="C47" s="9">
        <v>270.1549370088859</v>
      </c>
      <c r="D47" s="9">
        <v>24.209414514051115</v>
      </c>
      <c r="E47" s="9">
        <v>58.47</v>
      </c>
      <c r="F47" s="9">
        <v>24.78</v>
      </c>
      <c r="G47" s="13">
        <f t="shared" si="17"/>
        <v>377.614351522937</v>
      </c>
      <c r="H47" s="9">
        <v>204.24003895939603</v>
      </c>
      <c r="I47" s="9">
        <v>17.844218291214268</v>
      </c>
      <c r="J47" s="9">
        <v>0</v>
      </c>
      <c r="K47" s="9">
        <v>13.58</v>
      </c>
      <c r="L47" s="97">
        <v>28.656986204999999</v>
      </c>
      <c r="M47" s="13">
        <f t="shared" si="18"/>
        <v>264.32124345561033</v>
      </c>
      <c r="N47" s="9">
        <v>266.37795940091979</v>
      </c>
      <c r="O47" s="9">
        <f t="shared" si="19"/>
        <v>17.844218291214268</v>
      </c>
      <c r="P47" s="9">
        <f t="shared" si="19"/>
        <v>0</v>
      </c>
      <c r="Q47" s="9">
        <f t="shared" si="19"/>
        <v>13.58</v>
      </c>
      <c r="R47" s="9">
        <f t="shared" si="19"/>
        <v>28.656986204999999</v>
      </c>
      <c r="S47" s="13">
        <f t="shared" si="20"/>
        <v>326.45916389713403</v>
      </c>
      <c r="T47" s="9">
        <f>'O&amp;M expenses'!O29</f>
        <v>262.63497830933153</v>
      </c>
      <c r="U47" s="9">
        <f t="shared" si="21"/>
        <v>17.844218291214268</v>
      </c>
      <c r="V47" s="9">
        <f t="shared" si="16"/>
        <v>0</v>
      </c>
      <c r="W47" s="9">
        <f t="shared" si="16"/>
        <v>13.58</v>
      </c>
      <c r="X47" s="9">
        <f t="shared" si="16"/>
        <v>28.656986204999999</v>
      </c>
      <c r="Y47" s="13">
        <f t="shared" si="22"/>
        <v>322.71618280554577</v>
      </c>
    </row>
    <row r="48" spans="2:25" x14ac:dyDescent="0.35">
      <c r="B48" s="7" t="s">
        <v>154</v>
      </c>
      <c r="C48" s="9">
        <v>81.864865862512744</v>
      </c>
      <c r="D48" s="9">
        <v>7.5255279127168233</v>
      </c>
      <c r="E48" s="9">
        <v>0.87</v>
      </c>
      <c r="F48" s="9">
        <v>0.11</v>
      </c>
      <c r="G48" s="13">
        <f t="shared" si="17"/>
        <v>90.370393775229573</v>
      </c>
      <c r="H48" s="9">
        <v>83.635109837149258</v>
      </c>
      <c r="I48" s="9">
        <v>6.4149455176979258</v>
      </c>
      <c r="J48" s="9">
        <v>0</v>
      </c>
      <c r="K48" s="9">
        <v>1.1200000000000001</v>
      </c>
      <c r="L48" s="97">
        <v>0.14087641200000001</v>
      </c>
      <c r="M48" s="13">
        <f t="shared" si="18"/>
        <v>91.31093176684719</v>
      </c>
      <c r="N48" s="9">
        <v>78.903900114720813</v>
      </c>
      <c r="O48" s="9">
        <f t="shared" si="19"/>
        <v>6.4149455176979258</v>
      </c>
      <c r="P48" s="9">
        <f t="shared" si="19"/>
        <v>0</v>
      </c>
      <c r="Q48" s="9">
        <f t="shared" si="19"/>
        <v>1.1200000000000001</v>
      </c>
      <c r="R48" s="9">
        <f t="shared" si="19"/>
        <v>0.14087641200000001</v>
      </c>
      <c r="S48" s="13">
        <f t="shared" si="20"/>
        <v>86.579722044418745</v>
      </c>
      <c r="T48" s="9">
        <f>'O&amp;M expenses'!O30</f>
        <v>87.806060709490268</v>
      </c>
      <c r="U48" s="9">
        <f t="shared" si="21"/>
        <v>6.4149455176979258</v>
      </c>
      <c r="V48" s="9">
        <f t="shared" si="16"/>
        <v>0</v>
      </c>
      <c r="W48" s="9">
        <f t="shared" si="16"/>
        <v>1.1200000000000001</v>
      </c>
      <c r="X48" s="9">
        <f t="shared" si="16"/>
        <v>0.14087641200000001</v>
      </c>
      <c r="Y48" s="13">
        <f t="shared" si="22"/>
        <v>95.4818826391882</v>
      </c>
    </row>
    <row r="49" spans="2:25" x14ac:dyDescent="0.35">
      <c r="B49" s="7" t="s">
        <v>155</v>
      </c>
      <c r="C49" s="9">
        <v>144.44999999999999</v>
      </c>
      <c r="D49" s="9">
        <v>15.690977080078007</v>
      </c>
      <c r="E49" s="9">
        <v>4.83</v>
      </c>
      <c r="F49" s="9">
        <v>19.16</v>
      </c>
      <c r="G49" s="13">
        <f t="shared" si="17"/>
        <v>184.130977080078</v>
      </c>
      <c r="H49" s="9">
        <v>174.62212625126901</v>
      </c>
      <c r="I49" s="9">
        <v>9.8384458316748393</v>
      </c>
      <c r="J49" s="9">
        <v>0</v>
      </c>
      <c r="K49" s="9">
        <v>4.2799999999999994</v>
      </c>
      <c r="L49" s="97">
        <v>17.438010212000002</v>
      </c>
      <c r="M49" s="13">
        <f t="shared" si="18"/>
        <v>206.17858229494385</v>
      </c>
      <c r="N49" s="9">
        <v>144.44999999999999</v>
      </c>
      <c r="O49" s="9">
        <f t="shared" si="19"/>
        <v>9.8384458316748393</v>
      </c>
      <c r="P49" s="9">
        <f t="shared" si="19"/>
        <v>0</v>
      </c>
      <c r="Q49" s="9">
        <f t="shared" si="19"/>
        <v>4.2799999999999994</v>
      </c>
      <c r="R49" s="9">
        <f t="shared" si="19"/>
        <v>17.438010212000002</v>
      </c>
      <c r="S49" s="13">
        <f t="shared" si="20"/>
        <v>176.00645604367483</v>
      </c>
      <c r="T49" s="9">
        <f>'O&amp;M expenses'!J36</f>
        <v>144.44999999999999</v>
      </c>
      <c r="U49" s="9">
        <f t="shared" si="21"/>
        <v>9.8384458316748393</v>
      </c>
      <c r="V49" s="9">
        <f t="shared" si="16"/>
        <v>0</v>
      </c>
      <c r="W49" s="9">
        <f t="shared" si="16"/>
        <v>4.2799999999999994</v>
      </c>
      <c r="X49" s="9">
        <f t="shared" si="16"/>
        <v>17.438010212000002</v>
      </c>
      <c r="Y49" s="13">
        <f t="shared" si="22"/>
        <v>176.00645604367483</v>
      </c>
    </row>
    <row r="50" spans="2:25" x14ac:dyDescent="0.35">
      <c r="B50" s="7" t="s">
        <v>156</v>
      </c>
      <c r="C50" s="9">
        <v>144.44999999999999</v>
      </c>
      <c r="D50" s="9">
        <v>14.445136139094735</v>
      </c>
      <c r="E50" s="9">
        <v>19.899999999999999</v>
      </c>
      <c r="F50" s="9">
        <v>9.64</v>
      </c>
      <c r="G50" s="13">
        <f t="shared" si="17"/>
        <v>188.43513613909471</v>
      </c>
      <c r="H50" s="9">
        <v>178.76790399980331</v>
      </c>
      <c r="I50" s="9">
        <v>11.997842792931113</v>
      </c>
      <c r="J50" s="9">
        <v>0</v>
      </c>
      <c r="K50" s="9">
        <v>13.62</v>
      </c>
      <c r="L50" s="97">
        <v>8.9682443947543717</v>
      </c>
      <c r="M50" s="13">
        <f t="shared" si="18"/>
        <v>213.35399118748882</v>
      </c>
      <c r="N50" s="9">
        <v>144.44999999999999</v>
      </c>
      <c r="O50" s="9">
        <f t="shared" si="19"/>
        <v>11.997842792931113</v>
      </c>
      <c r="P50" s="9">
        <f t="shared" si="19"/>
        <v>0</v>
      </c>
      <c r="Q50" s="9">
        <f t="shared" si="19"/>
        <v>13.62</v>
      </c>
      <c r="R50" s="9">
        <f t="shared" si="19"/>
        <v>8.9682443947543717</v>
      </c>
      <c r="S50" s="13">
        <f t="shared" si="20"/>
        <v>179.0360871876855</v>
      </c>
      <c r="T50" s="9">
        <f>'O&amp;M expenses'!J37</f>
        <v>144.44999999999999</v>
      </c>
      <c r="U50" s="9">
        <f t="shared" si="21"/>
        <v>11.997842792931113</v>
      </c>
      <c r="V50" s="9">
        <f t="shared" si="16"/>
        <v>0</v>
      </c>
      <c r="W50" s="9">
        <f t="shared" si="16"/>
        <v>13.62</v>
      </c>
      <c r="X50" s="9">
        <f t="shared" si="16"/>
        <v>8.9682443947543717</v>
      </c>
      <c r="Y50" s="13">
        <f t="shared" si="22"/>
        <v>179.0360871876855</v>
      </c>
    </row>
    <row r="51" spans="2:25" x14ac:dyDescent="0.35">
      <c r="B51" s="7" t="s">
        <v>8</v>
      </c>
      <c r="C51" s="9">
        <v>96.05</v>
      </c>
      <c r="D51" s="9">
        <v>10.795860382797906</v>
      </c>
      <c r="E51" s="9">
        <v>4.58</v>
      </c>
      <c r="F51" s="9">
        <v>21.23</v>
      </c>
      <c r="G51" s="13">
        <f t="shared" si="17"/>
        <v>132.6558603827979</v>
      </c>
      <c r="H51" s="9">
        <v>125.87519469571953</v>
      </c>
      <c r="I51" s="9">
        <v>6.0147116614690823</v>
      </c>
      <c r="J51" s="9">
        <v>0</v>
      </c>
      <c r="K51" s="9">
        <v>35.86</v>
      </c>
      <c r="L51" s="97">
        <v>9.182445090271159</v>
      </c>
      <c r="M51" s="13">
        <f t="shared" si="18"/>
        <v>176.93235144745975</v>
      </c>
      <c r="N51" s="9">
        <v>96.05</v>
      </c>
      <c r="O51" s="9">
        <f t="shared" si="19"/>
        <v>6.0147116614690823</v>
      </c>
      <c r="P51" s="9">
        <f t="shared" si="19"/>
        <v>0</v>
      </c>
      <c r="Q51" s="9">
        <f t="shared" si="19"/>
        <v>35.86</v>
      </c>
      <c r="R51" s="9">
        <f t="shared" si="19"/>
        <v>9.182445090271159</v>
      </c>
      <c r="S51" s="13">
        <f t="shared" si="20"/>
        <v>147.10715675174023</v>
      </c>
      <c r="T51" s="9">
        <f>'O&amp;M expenses'!J38</f>
        <v>96.05</v>
      </c>
      <c r="U51" s="9">
        <f t="shared" si="21"/>
        <v>6.0147116614690823</v>
      </c>
      <c r="V51" s="9">
        <f t="shared" si="16"/>
        <v>0</v>
      </c>
      <c r="W51" s="9">
        <f t="shared" si="16"/>
        <v>35.86</v>
      </c>
      <c r="X51" s="9">
        <f t="shared" si="16"/>
        <v>9.182445090271159</v>
      </c>
      <c r="Y51" s="13">
        <f t="shared" si="22"/>
        <v>147.10715675174023</v>
      </c>
    </row>
    <row r="52" spans="2:25" x14ac:dyDescent="0.35">
      <c r="B52" s="7" t="s">
        <v>157</v>
      </c>
      <c r="C52" s="9">
        <v>192.1</v>
      </c>
      <c r="D52" s="9">
        <v>19.817825197085089</v>
      </c>
      <c r="E52" s="9">
        <v>12.25</v>
      </c>
      <c r="F52" s="9">
        <v>52.81</v>
      </c>
      <c r="G52" s="13">
        <f t="shared" si="17"/>
        <v>276.97782519708505</v>
      </c>
      <c r="H52" s="9">
        <v>223.18223092276605</v>
      </c>
      <c r="I52" s="9">
        <v>15.106464583827021</v>
      </c>
      <c r="J52" s="9">
        <v>0</v>
      </c>
      <c r="K52" s="9">
        <v>3.1399999999999997</v>
      </c>
      <c r="L52" s="97">
        <v>31.454819047390089</v>
      </c>
      <c r="M52" s="13">
        <f t="shared" si="18"/>
        <v>272.88351455398316</v>
      </c>
      <c r="N52" s="9">
        <v>192.1</v>
      </c>
      <c r="O52" s="9">
        <f t="shared" si="19"/>
        <v>15.106464583827021</v>
      </c>
      <c r="P52" s="9">
        <f t="shared" si="19"/>
        <v>0</v>
      </c>
      <c r="Q52" s="9">
        <f t="shared" si="19"/>
        <v>3.1399999999999997</v>
      </c>
      <c r="R52" s="9">
        <f t="shared" si="19"/>
        <v>31.454819047390089</v>
      </c>
      <c r="S52" s="13">
        <f t="shared" si="20"/>
        <v>241.8012836312171</v>
      </c>
      <c r="T52" s="9">
        <f>'O&amp;M expenses'!J39</f>
        <v>192.1</v>
      </c>
      <c r="U52" s="9">
        <f t="shared" si="21"/>
        <v>15.106464583827021</v>
      </c>
      <c r="V52" s="9">
        <f t="shared" si="16"/>
        <v>0</v>
      </c>
      <c r="W52" s="9">
        <f t="shared" si="16"/>
        <v>3.1399999999999997</v>
      </c>
      <c r="X52" s="9">
        <f t="shared" si="16"/>
        <v>31.454819047390089</v>
      </c>
      <c r="Y52" s="13">
        <f t="shared" si="22"/>
        <v>241.8012836312171</v>
      </c>
    </row>
    <row r="53" spans="2:25" x14ac:dyDescent="0.35">
      <c r="B53" s="7" t="s">
        <v>158</v>
      </c>
      <c r="C53" s="9">
        <v>297.24419999999998</v>
      </c>
      <c r="D53" s="9">
        <v>24.167886482685009</v>
      </c>
      <c r="E53" s="9">
        <v>39.770000000000003</v>
      </c>
      <c r="F53" s="9">
        <v>55.84</v>
      </c>
      <c r="G53" s="13">
        <f t="shared" si="17"/>
        <v>417.02208648268493</v>
      </c>
      <c r="H53" s="9">
        <v>414.94316358264734</v>
      </c>
      <c r="I53" s="9">
        <v>20.738515501070662</v>
      </c>
      <c r="J53" s="9">
        <v>0</v>
      </c>
      <c r="K53" s="9">
        <v>81.8</v>
      </c>
      <c r="L53" s="97">
        <v>29.731453326917809</v>
      </c>
      <c r="M53" s="13">
        <f t="shared" si="18"/>
        <v>547.21313241063581</v>
      </c>
      <c r="N53" s="9">
        <v>297.24419999999998</v>
      </c>
      <c r="O53" s="9">
        <f t="shared" si="19"/>
        <v>20.738515501070662</v>
      </c>
      <c r="P53" s="9">
        <f t="shared" si="19"/>
        <v>0</v>
      </c>
      <c r="Q53" s="9">
        <f t="shared" si="19"/>
        <v>81.8</v>
      </c>
      <c r="R53" s="9">
        <f t="shared" si="19"/>
        <v>29.731453326917809</v>
      </c>
      <c r="S53" s="13">
        <f t="shared" si="20"/>
        <v>429.51416882798844</v>
      </c>
      <c r="T53" s="9">
        <f>'O&amp;M expenses'!J40</f>
        <v>307.49399999999997</v>
      </c>
      <c r="U53" s="9">
        <f t="shared" si="21"/>
        <v>20.738515501070662</v>
      </c>
      <c r="V53" s="9">
        <f t="shared" si="16"/>
        <v>0</v>
      </c>
      <c r="W53" s="9">
        <f t="shared" si="16"/>
        <v>81.8</v>
      </c>
      <c r="X53" s="9">
        <f t="shared" si="16"/>
        <v>29.731453326917809</v>
      </c>
      <c r="Y53" s="13">
        <f t="shared" si="22"/>
        <v>439.76396882798844</v>
      </c>
    </row>
    <row r="54" spans="2:25" x14ac:dyDescent="0.35">
      <c r="B54" s="7" t="s">
        <v>159</v>
      </c>
      <c r="C54" s="9">
        <v>192.1</v>
      </c>
      <c r="D54" s="9">
        <v>18.44740016200349</v>
      </c>
      <c r="E54" s="9">
        <v>3.86</v>
      </c>
      <c r="F54" s="9">
        <v>32.07</v>
      </c>
      <c r="G54" s="13">
        <f t="shared" si="17"/>
        <v>246.47740016200351</v>
      </c>
      <c r="H54" s="9">
        <v>322.84944043343955</v>
      </c>
      <c r="I54" s="9">
        <v>11.606370410449658</v>
      </c>
      <c r="J54" s="9">
        <v>0</v>
      </c>
      <c r="K54" s="9">
        <v>5.71</v>
      </c>
      <c r="L54" s="97">
        <v>53.837038572982451</v>
      </c>
      <c r="M54" s="13">
        <f t="shared" si="18"/>
        <v>394.00284941687164</v>
      </c>
      <c r="N54" s="9">
        <v>192.1</v>
      </c>
      <c r="O54" s="9">
        <f t="shared" si="19"/>
        <v>11.606370410449658</v>
      </c>
      <c r="P54" s="9">
        <f t="shared" si="19"/>
        <v>0</v>
      </c>
      <c r="Q54" s="9">
        <f t="shared" si="19"/>
        <v>5.71</v>
      </c>
      <c r="R54" s="9">
        <f t="shared" si="19"/>
        <v>53.837038572982451</v>
      </c>
      <c r="S54" s="13">
        <f t="shared" si="20"/>
        <v>263.25340898343211</v>
      </c>
      <c r="T54" s="9">
        <f>'O&amp;M expenses'!J41</f>
        <v>192.1</v>
      </c>
      <c r="U54" s="9">
        <f t="shared" si="21"/>
        <v>11.606370410449658</v>
      </c>
      <c r="V54" s="9">
        <f t="shared" si="16"/>
        <v>0</v>
      </c>
      <c r="W54" s="9">
        <f t="shared" si="16"/>
        <v>5.71</v>
      </c>
      <c r="X54" s="9">
        <f t="shared" si="16"/>
        <v>53.837038572982451</v>
      </c>
      <c r="Y54" s="13">
        <f t="shared" si="22"/>
        <v>263.25340898343211</v>
      </c>
    </row>
    <row r="55" spans="2:25" x14ac:dyDescent="0.35">
      <c r="B55" s="7" t="s">
        <v>160</v>
      </c>
      <c r="C55" s="9">
        <v>72.224999999999994</v>
      </c>
      <c r="D55" s="9">
        <v>7.9356172224571511</v>
      </c>
      <c r="E55" s="9">
        <v>17.5</v>
      </c>
      <c r="F55" s="9">
        <v>7.87</v>
      </c>
      <c r="G55" s="13">
        <f t="shared" si="17"/>
        <v>105.53061722245715</v>
      </c>
      <c r="H55" s="9">
        <v>77.654357410474645</v>
      </c>
      <c r="I55" s="9">
        <v>5.0777181350403628</v>
      </c>
      <c r="J55" s="9">
        <v>0</v>
      </c>
      <c r="K55" s="9">
        <v>8.4499999999999993</v>
      </c>
      <c r="L55" s="97">
        <v>5.8942368882456275</v>
      </c>
      <c r="M55" s="13">
        <f t="shared" si="18"/>
        <v>97.076312433760634</v>
      </c>
      <c r="N55" s="9">
        <v>72.224999999999994</v>
      </c>
      <c r="O55" s="9">
        <f t="shared" si="19"/>
        <v>5.0777181350403628</v>
      </c>
      <c r="P55" s="9">
        <f t="shared" si="19"/>
        <v>0</v>
      </c>
      <c r="Q55" s="9">
        <f t="shared" si="19"/>
        <v>8.4499999999999993</v>
      </c>
      <c r="R55" s="9">
        <f t="shared" si="19"/>
        <v>5.8942368882456275</v>
      </c>
      <c r="S55" s="13">
        <f t="shared" si="20"/>
        <v>91.646955023285983</v>
      </c>
      <c r="T55" s="9">
        <f>'O&amp;M expenses'!J42</f>
        <v>72.224999999999994</v>
      </c>
      <c r="U55" s="9">
        <f t="shared" si="21"/>
        <v>5.0777181350403628</v>
      </c>
      <c r="V55" s="9">
        <f t="shared" si="16"/>
        <v>0</v>
      </c>
      <c r="W55" s="9">
        <f t="shared" si="16"/>
        <v>8.4499999999999993</v>
      </c>
      <c r="X55" s="9">
        <f t="shared" si="16"/>
        <v>5.8942368882456275</v>
      </c>
      <c r="Y55" s="13">
        <f t="shared" si="22"/>
        <v>91.646955023285983</v>
      </c>
    </row>
    <row r="56" spans="2:25" x14ac:dyDescent="0.35">
      <c r="B56" s="7" t="s">
        <v>161</v>
      </c>
      <c r="C56" s="9">
        <v>194.97571094189718</v>
      </c>
      <c r="D56" s="9">
        <v>26.887972537165151</v>
      </c>
      <c r="E56" s="9">
        <v>0</v>
      </c>
      <c r="F56" s="9">
        <v>0.61</v>
      </c>
      <c r="G56" s="13">
        <f t="shared" si="17"/>
        <v>222.47368347906234</v>
      </c>
      <c r="H56" s="9">
        <v>232.87767053582388</v>
      </c>
      <c r="I56" s="9">
        <v>22.936015213067414</v>
      </c>
      <c r="J56" s="9">
        <v>0</v>
      </c>
      <c r="K56" s="9">
        <v>0</v>
      </c>
      <c r="L56" s="97">
        <v>0.30800718500000002</v>
      </c>
      <c r="M56" s="13">
        <f t="shared" si="18"/>
        <v>256.12169293389127</v>
      </c>
      <c r="N56" s="9">
        <v>194.34094420568448</v>
      </c>
      <c r="O56" s="9">
        <f t="shared" si="19"/>
        <v>22.936015213067414</v>
      </c>
      <c r="P56" s="9">
        <f t="shared" si="19"/>
        <v>0</v>
      </c>
      <c r="Q56" s="9">
        <f t="shared" si="19"/>
        <v>0</v>
      </c>
      <c r="R56" s="9">
        <f t="shared" si="19"/>
        <v>0.30800718500000002</v>
      </c>
      <c r="S56" s="13">
        <f t="shared" si="20"/>
        <v>217.58496660375189</v>
      </c>
      <c r="T56" s="9">
        <f>'O&amp;M expenses'!O31</f>
        <v>209.74102096663864</v>
      </c>
      <c r="U56" s="9">
        <f t="shared" si="21"/>
        <v>22.936015213067414</v>
      </c>
      <c r="V56" s="9">
        <f t="shared" si="16"/>
        <v>0</v>
      </c>
      <c r="W56" s="9">
        <f t="shared" si="16"/>
        <v>0</v>
      </c>
      <c r="X56" s="9">
        <f t="shared" si="16"/>
        <v>0.30800718500000002</v>
      </c>
      <c r="Y56" s="13">
        <f t="shared" si="22"/>
        <v>232.98504336470606</v>
      </c>
    </row>
    <row r="57" spans="2:25" x14ac:dyDescent="0.35">
      <c r="B57" s="12" t="s">
        <v>27</v>
      </c>
      <c r="C57" s="13">
        <f>SUM(C43:C56)</f>
        <v>2788.1372218326323</v>
      </c>
      <c r="D57" s="13">
        <f t="shared" ref="D57:F57" si="23">SUM(D43:D56)</f>
        <v>267.17655600000001</v>
      </c>
      <c r="E57" s="13">
        <f t="shared" si="23"/>
        <v>183.28</v>
      </c>
      <c r="F57" s="13">
        <f t="shared" si="23"/>
        <v>345.99</v>
      </c>
      <c r="G57" s="13">
        <f t="shared" si="17"/>
        <v>3584.5837778326322</v>
      </c>
      <c r="H57" s="13">
        <f t="shared" ref="H57:L57" si="24">SUM(H43:H56)</f>
        <v>3191.7479967859163</v>
      </c>
      <c r="I57" s="13">
        <f t="shared" si="24"/>
        <v>193.37087034709938</v>
      </c>
      <c r="J57" s="13">
        <f t="shared" si="24"/>
        <v>0</v>
      </c>
      <c r="K57" s="13">
        <f t="shared" si="24"/>
        <v>288.60999999999996</v>
      </c>
      <c r="L57" s="13">
        <f t="shared" si="24"/>
        <v>278.17379723230181</v>
      </c>
      <c r="M57" s="13">
        <f t="shared" si="18"/>
        <v>3951.9026643653174</v>
      </c>
      <c r="N57" s="13">
        <f t="shared" ref="N57:R57" si="25">SUM(N43:N56)</f>
        <v>2741.5236338222121</v>
      </c>
      <c r="O57" s="13">
        <f t="shared" si="25"/>
        <v>193.37087034709938</v>
      </c>
      <c r="P57" s="13">
        <f t="shared" si="25"/>
        <v>0</v>
      </c>
      <c r="Q57" s="13">
        <f t="shared" si="25"/>
        <v>288.60999999999996</v>
      </c>
      <c r="R57" s="13">
        <f t="shared" si="25"/>
        <v>278.17379723230181</v>
      </c>
      <c r="S57" s="13">
        <f t="shared" si="20"/>
        <v>3501.6783014016132</v>
      </c>
      <c r="T57" s="13">
        <f t="shared" ref="T57:X57" si="26">SUM(T43:T56)</f>
        <v>2811.7918365841247</v>
      </c>
      <c r="U57" s="13">
        <f t="shared" si="26"/>
        <v>193.37087034709938</v>
      </c>
      <c r="V57" s="13">
        <f t="shared" si="26"/>
        <v>0</v>
      </c>
      <c r="W57" s="13">
        <f t="shared" si="26"/>
        <v>288.60999999999996</v>
      </c>
      <c r="X57" s="13">
        <f t="shared" si="26"/>
        <v>278.17379723230181</v>
      </c>
      <c r="Y57" s="13">
        <f t="shared" si="22"/>
        <v>3571.9465041635258</v>
      </c>
    </row>
    <row r="59" spans="2:25" x14ac:dyDescent="0.35">
      <c r="B59" s="3" t="s">
        <v>247</v>
      </c>
      <c r="Q59" s="120" t="s">
        <v>164</v>
      </c>
    </row>
    <row r="60" spans="2:25" x14ac:dyDescent="0.35">
      <c r="B60" s="187" t="s">
        <v>170</v>
      </c>
      <c r="C60" s="152" t="s">
        <v>172</v>
      </c>
      <c r="D60" s="162"/>
      <c r="E60" s="162"/>
      <c r="F60" s="162"/>
      <c r="G60" s="153"/>
      <c r="H60" s="152" t="s">
        <v>131</v>
      </c>
      <c r="I60" s="162"/>
      <c r="J60" s="162"/>
      <c r="K60" s="162"/>
      <c r="L60" s="153"/>
      <c r="M60" s="152" t="s">
        <v>132</v>
      </c>
      <c r="N60" s="162"/>
      <c r="O60" s="162"/>
      <c r="P60" s="162"/>
      <c r="Q60" s="153"/>
    </row>
    <row r="61" spans="2:25" ht="45" x14ac:dyDescent="0.35">
      <c r="B61" s="187"/>
      <c r="C61" s="96" t="s">
        <v>238</v>
      </c>
      <c r="D61" s="96" t="s">
        <v>239</v>
      </c>
      <c r="E61" s="96" t="s">
        <v>240</v>
      </c>
      <c r="F61" s="96" t="s">
        <v>241</v>
      </c>
      <c r="G61" s="96" t="s">
        <v>242</v>
      </c>
      <c r="H61" s="96" t="s">
        <v>238</v>
      </c>
      <c r="I61" s="96" t="s">
        <v>239</v>
      </c>
      <c r="J61" s="96" t="s">
        <v>240</v>
      </c>
      <c r="K61" s="96" t="s">
        <v>241</v>
      </c>
      <c r="L61" s="96" t="s">
        <v>242</v>
      </c>
      <c r="M61" s="96" t="s">
        <v>238</v>
      </c>
      <c r="N61" s="96" t="s">
        <v>239</v>
      </c>
      <c r="O61" s="96" t="s">
        <v>240</v>
      </c>
      <c r="P61" s="96" t="s">
        <v>241</v>
      </c>
      <c r="Q61" s="96" t="s">
        <v>242</v>
      </c>
    </row>
    <row r="62" spans="2:25" x14ac:dyDescent="0.35">
      <c r="B62" s="7" t="s">
        <v>43</v>
      </c>
      <c r="C62" s="9">
        <v>101.40352022245602</v>
      </c>
      <c r="D62" s="9">
        <v>12.673360169321093</v>
      </c>
      <c r="E62" s="9">
        <v>1.47</v>
      </c>
      <c r="F62" s="9">
        <v>2.1</v>
      </c>
      <c r="G62" s="13">
        <f>SUM(C62:F62)</f>
        <v>117.6468803917771</v>
      </c>
      <c r="H62" s="9">
        <v>100.86249520465198</v>
      </c>
      <c r="I62" s="9">
        <v>0</v>
      </c>
      <c r="J62" s="9">
        <v>11.597799999999999</v>
      </c>
      <c r="K62" s="9">
        <v>3.7387613266099149</v>
      </c>
      <c r="L62" s="13">
        <f>SUM(H62:K62)</f>
        <v>116.19905653126189</v>
      </c>
      <c r="M62" s="9">
        <f>'O&amp;M expenses'!P25</f>
        <v>96.686919969675301</v>
      </c>
      <c r="N62" s="9">
        <f>U43*(1+'O&amp;M expenses'!$K$25)</f>
        <v>7.6102339662729381</v>
      </c>
      <c r="O62" s="9">
        <f>Q43</f>
        <v>11.26</v>
      </c>
      <c r="P62" s="9">
        <f>R43</f>
        <v>3.7387613266099149</v>
      </c>
      <c r="Q62" s="13">
        <f>SUM(M62:P62)</f>
        <v>119.29591526255817</v>
      </c>
    </row>
    <row r="63" spans="2:25" x14ac:dyDescent="0.35">
      <c r="B63" s="7" t="s">
        <v>150</v>
      </c>
      <c r="C63" s="9">
        <v>556.94127038838405</v>
      </c>
      <c r="D63" s="9">
        <v>49.15520831844951</v>
      </c>
      <c r="E63" s="9">
        <v>9.8699999999999992</v>
      </c>
      <c r="F63" s="9">
        <v>82.11</v>
      </c>
      <c r="G63" s="13">
        <f t="shared" ref="G63:G76" si="27">SUM(C63:F63)</f>
        <v>698.07647870683354</v>
      </c>
      <c r="H63" s="9">
        <v>723.66140724756156</v>
      </c>
      <c r="I63" s="9">
        <v>0</v>
      </c>
      <c r="J63" s="9">
        <v>11.299099999999999</v>
      </c>
      <c r="K63" s="97">
        <v>46.503103609319339</v>
      </c>
      <c r="L63" s="13">
        <f t="shared" ref="L63:L76" si="28">SUM(H63:K63)</f>
        <v>781.4636108568809</v>
      </c>
      <c r="M63" s="9">
        <f>'O&amp;M expenses'!P26</f>
        <v>595.00017258950913</v>
      </c>
      <c r="N63" s="9">
        <f>U44*(1+'O&amp;M expenses'!$K$25)</f>
        <v>32.027424329872375</v>
      </c>
      <c r="O63" s="9">
        <f t="shared" ref="O63:P75" si="29">Q44</f>
        <v>10.969999999999999</v>
      </c>
      <c r="P63" s="9">
        <f t="shared" si="29"/>
        <v>46.503103609319339</v>
      </c>
      <c r="Q63" s="13">
        <f t="shared" ref="Q63:Q76" si="30">SUM(M63:P63)</f>
        <v>684.50070052870092</v>
      </c>
    </row>
    <row r="64" spans="2:25" x14ac:dyDescent="0.35">
      <c r="B64" s="7" t="s">
        <v>151</v>
      </c>
      <c r="C64" s="9">
        <v>264.55075708772364</v>
      </c>
      <c r="D64" s="9">
        <v>20.460607325826416</v>
      </c>
      <c r="E64" s="9">
        <v>6.54</v>
      </c>
      <c r="F64" s="9">
        <v>34.01</v>
      </c>
      <c r="G64" s="13">
        <f t="shared" si="27"/>
        <v>325.56136441355005</v>
      </c>
      <c r="H64" s="9">
        <v>279.26710254362513</v>
      </c>
      <c r="I64" s="9">
        <v>0</v>
      </c>
      <c r="J64" s="9">
        <v>61.892699999999998</v>
      </c>
      <c r="K64" s="97">
        <v>28.924553891728827</v>
      </c>
      <c r="L64" s="13">
        <f t="shared" si="28"/>
        <v>370.08435643535393</v>
      </c>
      <c r="M64" s="9">
        <f>'O&amp;M expenses'!P27</f>
        <v>278.26187911451541</v>
      </c>
      <c r="N64" s="9">
        <f>U45*(1+'O&amp;M expenses'!$K$25)</f>
        <v>16.662179829416818</v>
      </c>
      <c r="O64" s="9">
        <f t="shared" si="29"/>
        <v>60.089999999999996</v>
      </c>
      <c r="P64" s="9">
        <f t="shared" si="29"/>
        <v>28.924553891728827</v>
      </c>
      <c r="Q64" s="13">
        <f t="shared" si="30"/>
        <v>383.93861283566099</v>
      </c>
    </row>
    <row r="65" spans="2:17" x14ac:dyDescent="0.35">
      <c r="B65" s="7" t="s">
        <v>44</v>
      </c>
      <c r="C65" s="9">
        <v>203.00043749078333</v>
      </c>
      <c r="D65" s="9">
        <v>17.025524849709701</v>
      </c>
      <c r="E65" s="9">
        <v>3.37</v>
      </c>
      <c r="F65" s="9">
        <v>3.65</v>
      </c>
      <c r="G65" s="13">
        <f t="shared" si="27"/>
        <v>227.04596234049305</v>
      </c>
      <c r="H65" s="9">
        <v>162.76155820903699</v>
      </c>
      <c r="I65" s="9">
        <v>0</v>
      </c>
      <c r="J65" s="9">
        <v>39.891900000000007</v>
      </c>
      <c r="K65" s="97">
        <v>13.395261070082189</v>
      </c>
      <c r="L65" s="13">
        <f t="shared" si="28"/>
        <v>216.04871927911921</v>
      </c>
      <c r="M65" s="9">
        <f>'O&amp;M expenses'!P28</f>
        <v>176.21183256517051</v>
      </c>
      <c r="N65" s="9">
        <f>U46*(1+'O&amp;M expenses'!$K$25)</f>
        <v>12.086463619720343</v>
      </c>
      <c r="O65" s="9">
        <f t="shared" si="29"/>
        <v>38.730000000000004</v>
      </c>
      <c r="P65" s="9">
        <f t="shared" si="29"/>
        <v>13.395261070082189</v>
      </c>
      <c r="Q65" s="13">
        <f t="shared" si="30"/>
        <v>240.42355725497305</v>
      </c>
    </row>
    <row r="66" spans="2:17" x14ac:dyDescent="0.35">
      <c r="B66" s="7" t="s">
        <v>152</v>
      </c>
      <c r="C66" s="9">
        <v>275.88222167347431</v>
      </c>
      <c r="D66" s="9">
        <v>24.722654101749001</v>
      </c>
      <c r="E66" s="9">
        <v>58.47</v>
      </c>
      <c r="F66" s="9">
        <v>24.78</v>
      </c>
      <c r="G66" s="13">
        <f t="shared" si="27"/>
        <v>383.85487577522326</v>
      </c>
      <c r="H66" s="9">
        <v>214.05871186600001</v>
      </c>
      <c r="I66" s="9">
        <v>0</v>
      </c>
      <c r="J66" s="9">
        <v>13.987400000000001</v>
      </c>
      <c r="K66" s="97">
        <v>28.656986204999999</v>
      </c>
      <c r="L66" s="13">
        <f t="shared" si="28"/>
        <v>256.703098071</v>
      </c>
      <c r="M66" s="9">
        <f>'O&amp;M expenses'!P29</f>
        <v>272.97613759125255</v>
      </c>
      <c r="N66" s="9">
        <f>U47*(1+'O&amp;M expenses'!$K$25)</f>
        <v>18.546828068475072</v>
      </c>
      <c r="O66" s="9">
        <f t="shared" si="29"/>
        <v>13.58</v>
      </c>
      <c r="P66" s="9">
        <f t="shared" si="29"/>
        <v>28.656986204999999</v>
      </c>
      <c r="Q66" s="13">
        <f t="shared" si="30"/>
        <v>333.75995186472761</v>
      </c>
    </row>
    <row r="67" spans="2:17" x14ac:dyDescent="0.35">
      <c r="B67" s="7" t="s">
        <v>154</v>
      </c>
      <c r="C67" s="9">
        <v>83.600401018798024</v>
      </c>
      <c r="D67" s="9">
        <v>7.6850691044664208</v>
      </c>
      <c r="E67" s="9">
        <v>0.87</v>
      </c>
      <c r="F67" s="9">
        <v>0.11</v>
      </c>
      <c r="G67" s="13">
        <f t="shared" si="27"/>
        <v>92.26547012326445</v>
      </c>
      <c r="H67" s="9">
        <v>92.343596388600005</v>
      </c>
      <c r="I67" s="9">
        <v>0</v>
      </c>
      <c r="J67" s="9">
        <v>1.1536000000000002</v>
      </c>
      <c r="K67" s="97">
        <v>0.14087641200000001</v>
      </c>
      <c r="L67" s="13">
        <f t="shared" si="28"/>
        <v>93.6380728006</v>
      </c>
      <c r="M67" s="9">
        <f>'O&amp;M expenses'!P30</f>
        <v>91.263393261155969</v>
      </c>
      <c r="N67" s="9">
        <f>U48*(1+'O&amp;M expenses'!$K$25)</f>
        <v>6.6675317261702292</v>
      </c>
      <c r="O67" s="9">
        <f t="shared" si="29"/>
        <v>1.1200000000000001</v>
      </c>
      <c r="P67" s="9">
        <f t="shared" si="29"/>
        <v>0.14087641200000001</v>
      </c>
      <c r="Q67" s="13">
        <f t="shared" si="30"/>
        <v>99.191801399326195</v>
      </c>
    </row>
    <row r="68" spans="2:17" x14ac:dyDescent="0.35">
      <c r="B68" s="7" t="s">
        <v>155</v>
      </c>
      <c r="C68" s="9">
        <v>149.65</v>
      </c>
      <c r="D68" s="9">
        <v>16.023625794175661</v>
      </c>
      <c r="E68" s="9">
        <v>4.83</v>
      </c>
      <c r="F68" s="9">
        <v>19.16</v>
      </c>
      <c r="G68" s="13">
        <f t="shared" si="27"/>
        <v>189.66362579417569</v>
      </c>
      <c r="H68" s="9">
        <v>160.86169986480002</v>
      </c>
      <c r="I68" s="9">
        <v>0</v>
      </c>
      <c r="J68" s="9">
        <v>4.4083999999999994</v>
      </c>
      <c r="K68" s="97">
        <v>17.438010212000002</v>
      </c>
      <c r="L68" s="13">
        <f t="shared" si="28"/>
        <v>182.70811007680001</v>
      </c>
      <c r="M68" s="9">
        <f>'O&amp;M expenses'!K36</f>
        <v>149.65</v>
      </c>
      <c r="N68" s="9">
        <f>U49*(1+'O&amp;M expenses'!$K$25)</f>
        <v>10.225831152879357</v>
      </c>
      <c r="O68" s="9">
        <f t="shared" si="29"/>
        <v>4.2799999999999994</v>
      </c>
      <c r="P68" s="9">
        <f t="shared" si="29"/>
        <v>17.438010212000002</v>
      </c>
      <c r="Q68" s="13">
        <f t="shared" si="30"/>
        <v>181.59384136487935</v>
      </c>
    </row>
    <row r="69" spans="2:17" x14ac:dyDescent="0.35">
      <c r="B69" s="7" t="s">
        <v>156</v>
      </c>
      <c r="C69" s="9">
        <v>149.65</v>
      </c>
      <c r="D69" s="9">
        <v>14.751373025243545</v>
      </c>
      <c r="E69" s="9">
        <v>19.899999999999999</v>
      </c>
      <c r="F69" s="9">
        <v>9.64</v>
      </c>
      <c r="G69" s="13">
        <f t="shared" si="27"/>
        <v>193.94137302524354</v>
      </c>
      <c r="H69" s="9">
        <v>199.64484367164999</v>
      </c>
      <c r="I69" s="9">
        <v>0</v>
      </c>
      <c r="J69" s="9">
        <v>14.028599999999999</v>
      </c>
      <c r="K69" s="97">
        <v>8.9682443947543717</v>
      </c>
      <c r="L69" s="13">
        <f t="shared" si="28"/>
        <v>222.64168806640438</v>
      </c>
      <c r="M69" s="9">
        <f>'O&amp;M expenses'!K37</f>
        <v>149.65</v>
      </c>
      <c r="N69" s="9">
        <f>U50*(1+'O&amp;M expenses'!$K$25)</f>
        <v>12.470253604925155</v>
      </c>
      <c r="O69" s="9">
        <f t="shared" si="29"/>
        <v>13.62</v>
      </c>
      <c r="P69" s="9">
        <f t="shared" si="29"/>
        <v>8.9682443947543717</v>
      </c>
      <c r="Q69" s="13">
        <f t="shared" si="30"/>
        <v>184.70849799967954</v>
      </c>
    </row>
    <row r="70" spans="2:17" x14ac:dyDescent="0.35">
      <c r="B70" s="7" t="s">
        <v>8</v>
      </c>
      <c r="C70" s="9">
        <v>99.5</v>
      </c>
      <c r="D70" s="9">
        <v>11.024732622913223</v>
      </c>
      <c r="E70" s="9">
        <v>4.58</v>
      </c>
      <c r="F70" s="9">
        <v>21.23</v>
      </c>
      <c r="G70" s="13">
        <f t="shared" si="27"/>
        <v>136.33473262291321</v>
      </c>
      <c r="H70" s="9">
        <v>135.89484203562429</v>
      </c>
      <c r="I70" s="9">
        <v>0</v>
      </c>
      <c r="J70" s="9">
        <v>36.9358</v>
      </c>
      <c r="K70" s="97">
        <v>9.182445090271159</v>
      </c>
      <c r="L70" s="13">
        <f t="shared" si="28"/>
        <v>182.01308712589545</v>
      </c>
      <c r="M70" s="9">
        <f>'O&amp;M expenses'!K38</f>
        <v>99.5</v>
      </c>
      <c r="N70" s="9">
        <f>U51*(1+'O&amp;M expenses'!$K$25)</f>
        <v>6.251538803559888</v>
      </c>
      <c r="O70" s="9">
        <f t="shared" si="29"/>
        <v>35.86</v>
      </c>
      <c r="P70" s="9">
        <f t="shared" si="29"/>
        <v>9.182445090271159</v>
      </c>
      <c r="Q70" s="13">
        <f t="shared" si="30"/>
        <v>150.79398389383104</v>
      </c>
    </row>
    <row r="71" spans="2:17" x14ac:dyDescent="0.35">
      <c r="B71" s="7" t="s">
        <v>157</v>
      </c>
      <c r="C71" s="9">
        <v>199</v>
      </c>
      <c r="D71" s="9">
        <v>20.237963091263296</v>
      </c>
      <c r="E71" s="9">
        <v>12.25</v>
      </c>
      <c r="F71" s="9">
        <v>52.81</v>
      </c>
      <c r="G71" s="13">
        <f t="shared" si="27"/>
        <v>284.29796309126328</v>
      </c>
      <c r="H71" s="9">
        <v>236.71251796679419</v>
      </c>
      <c r="I71" s="9">
        <v>0</v>
      </c>
      <c r="J71" s="9">
        <v>3.2342</v>
      </c>
      <c r="K71" s="97">
        <v>31.454819047390089</v>
      </c>
      <c r="L71" s="13">
        <f t="shared" si="28"/>
        <v>271.40153701418427</v>
      </c>
      <c r="M71" s="9">
        <f>'O&amp;M expenses'!K39</f>
        <v>199</v>
      </c>
      <c r="N71" s="9">
        <f>U52*(1+'O&amp;M expenses'!$K$25)</f>
        <v>15.701276278193413</v>
      </c>
      <c r="O71" s="9">
        <f t="shared" si="29"/>
        <v>3.1399999999999997</v>
      </c>
      <c r="P71" s="9">
        <f t="shared" si="29"/>
        <v>31.454819047390089</v>
      </c>
      <c r="Q71" s="13">
        <f t="shared" si="30"/>
        <v>249.29609532558348</v>
      </c>
    </row>
    <row r="72" spans="2:17" x14ac:dyDescent="0.35">
      <c r="B72" s="7" t="s">
        <v>158</v>
      </c>
      <c r="C72" s="9">
        <v>307.96260000000001</v>
      </c>
      <c r="D72" s="9">
        <v>24.680245676117934</v>
      </c>
      <c r="E72" s="9">
        <v>39.770000000000003</v>
      </c>
      <c r="F72" s="9">
        <v>55.84</v>
      </c>
      <c r="G72" s="13">
        <f t="shared" si="27"/>
        <v>428.25284567611789</v>
      </c>
      <c r="H72" s="9">
        <v>400.61605744202899</v>
      </c>
      <c r="I72" s="9">
        <v>0</v>
      </c>
      <c r="J72" s="9">
        <v>84.254000000000005</v>
      </c>
      <c r="K72" s="97">
        <v>29.731453326917809</v>
      </c>
      <c r="L72" s="13">
        <f t="shared" si="28"/>
        <v>514.60151076894681</v>
      </c>
      <c r="M72" s="9">
        <f>'O&amp;M expenses'!K40</f>
        <v>318.58199999999999</v>
      </c>
      <c r="N72" s="9">
        <f>U53*(1+'O&amp;M expenses'!$K$25)</f>
        <v>21.555087206209528</v>
      </c>
      <c r="O72" s="9">
        <f t="shared" si="29"/>
        <v>81.8</v>
      </c>
      <c r="P72" s="9">
        <f t="shared" si="29"/>
        <v>29.731453326917809</v>
      </c>
      <c r="Q72" s="13">
        <f t="shared" si="30"/>
        <v>451.66854053312733</v>
      </c>
    </row>
    <row r="73" spans="2:17" x14ac:dyDescent="0.35">
      <c r="B73" s="7" t="s">
        <v>159</v>
      </c>
      <c r="C73" s="9">
        <v>199</v>
      </c>
      <c r="D73" s="9">
        <v>18.838485045437967</v>
      </c>
      <c r="E73" s="9">
        <v>3.86</v>
      </c>
      <c r="F73" s="9">
        <v>32.07</v>
      </c>
      <c r="G73" s="13">
        <f t="shared" si="27"/>
        <v>253.76848504543798</v>
      </c>
      <c r="H73" s="9">
        <v>376.90698294143829</v>
      </c>
      <c r="I73" s="9">
        <v>0</v>
      </c>
      <c r="J73" s="9">
        <v>5.8813000000000013</v>
      </c>
      <c r="K73" s="97">
        <v>53.837038572982451</v>
      </c>
      <c r="L73" s="13">
        <f t="shared" si="28"/>
        <v>436.62532151442076</v>
      </c>
      <c r="M73" s="9">
        <f>'O&amp;M expenses'!K41</f>
        <v>199</v>
      </c>
      <c r="N73" s="9">
        <f>U54*(1+'O&amp;M expenses'!$K$25)</f>
        <v>12.063367135988903</v>
      </c>
      <c r="O73" s="9">
        <f t="shared" si="29"/>
        <v>5.71</v>
      </c>
      <c r="P73" s="9">
        <f t="shared" si="29"/>
        <v>53.837038572982451</v>
      </c>
      <c r="Q73" s="13">
        <f t="shared" si="30"/>
        <v>270.61040570897137</v>
      </c>
    </row>
    <row r="74" spans="2:17" x14ac:dyDescent="0.35">
      <c r="B74" s="7" t="s">
        <v>160</v>
      </c>
      <c r="C74" s="9">
        <v>74.825000000000003</v>
      </c>
      <c r="D74" s="9">
        <v>8.1038523075732432</v>
      </c>
      <c r="E74" s="9">
        <v>17.5</v>
      </c>
      <c r="F74" s="9">
        <v>7.87</v>
      </c>
      <c r="G74" s="13">
        <f t="shared" si="27"/>
        <v>108.29885230757326</v>
      </c>
      <c r="H74" s="9">
        <v>80.158307569599998</v>
      </c>
      <c r="I74" s="9">
        <v>0</v>
      </c>
      <c r="J74" s="9">
        <v>8.7035</v>
      </c>
      <c r="K74" s="97">
        <v>5.8942368882456275</v>
      </c>
      <c r="L74" s="13">
        <f t="shared" si="28"/>
        <v>94.756044457845633</v>
      </c>
      <c r="M74" s="9">
        <f>'O&amp;M expenses'!K42</f>
        <v>74.825000000000003</v>
      </c>
      <c r="N74" s="9">
        <f>U55*(1+'O&amp;M expenses'!$K$25)</f>
        <v>5.277651488781637</v>
      </c>
      <c r="O74" s="9">
        <f t="shared" si="29"/>
        <v>8.4499999999999993</v>
      </c>
      <c r="P74" s="9">
        <f t="shared" si="29"/>
        <v>5.8942368882456275</v>
      </c>
      <c r="Q74" s="13">
        <f t="shared" si="30"/>
        <v>94.446888377027278</v>
      </c>
    </row>
    <row r="75" spans="2:17" x14ac:dyDescent="0.35">
      <c r="B75" s="7" t="s">
        <v>161</v>
      </c>
      <c r="C75" s="9">
        <v>199.10919601386541</v>
      </c>
      <c r="D75" s="9">
        <v>27.457997554953057</v>
      </c>
      <c r="E75" s="9">
        <v>0</v>
      </c>
      <c r="F75" s="9">
        <v>0.61</v>
      </c>
      <c r="G75" s="13">
        <f t="shared" si="27"/>
        <v>227.1771935688185</v>
      </c>
      <c r="H75" s="9">
        <v>289.68506811169891</v>
      </c>
      <c r="I75" s="9">
        <v>0</v>
      </c>
      <c r="J75" s="9">
        <v>0</v>
      </c>
      <c r="K75" s="9">
        <v>0.3084248</v>
      </c>
      <c r="L75" s="13">
        <f t="shared" si="28"/>
        <v>289.99349291169892</v>
      </c>
      <c r="M75" s="9">
        <f>'O&amp;M expenses'!P31</f>
        <v>217.99949940592003</v>
      </c>
      <c r="N75" s="9">
        <f>U56*(1+'O&amp;M expenses'!$K$25)</f>
        <v>23.839112691315485</v>
      </c>
      <c r="O75" s="9">
        <f t="shared" si="29"/>
        <v>0</v>
      </c>
      <c r="P75" s="9">
        <f t="shared" si="29"/>
        <v>0.30800718500000002</v>
      </c>
      <c r="Q75" s="13">
        <f t="shared" si="30"/>
        <v>242.14661928223552</v>
      </c>
    </row>
    <row r="76" spans="2:17" x14ac:dyDescent="0.35">
      <c r="B76" s="12" t="s">
        <v>27</v>
      </c>
      <c r="C76" s="13">
        <f>SUM(C62:C75)</f>
        <v>2864.0754038954847</v>
      </c>
      <c r="D76" s="13">
        <f t="shared" ref="D76:F76" si="31">SUM(D62:D75)</f>
        <v>272.84069898720008</v>
      </c>
      <c r="E76" s="13">
        <f t="shared" si="31"/>
        <v>183.28</v>
      </c>
      <c r="F76" s="13">
        <f t="shared" si="31"/>
        <v>345.99</v>
      </c>
      <c r="G76" s="13">
        <f t="shared" si="27"/>
        <v>3666.1861028826852</v>
      </c>
      <c r="H76" s="13">
        <f>SUM(H62:H75)</f>
        <v>3453.4351910631103</v>
      </c>
      <c r="I76" s="13">
        <f t="shared" ref="I76:K76" si="32">SUM(I62:I75)</f>
        <v>0</v>
      </c>
      <c r="J76" s="13">
        <f t="shared" si="32"/>
        <v>297.26830000000007</v>
      </c>
      <c r="K76" s="13">
        <f t="shared" si="32"/>
        <v>278.17421484730181</v>
      </c>
      <c r="L76" s="13">
        <f t="shared" si="28"/>
        <v>4028.8777059104123</v>
      </c>
      <c r="M76" s="13">
        <f>SUM(M62:M75)</f>
        <v>2918.6068344971991</v>
      </c>
      <c r="N76" s="13">
        <f t="shared" ref="N76:P76" si="33">SUM(N62:N75)</f>
        <v>200.98477990178111</v>
      </c>
      <c r="O76" s="13">
        <f t="shared" si="33"/>
        <v>288.60999999999996</v>
      </c>
      <c r="P76" s="13">
        <f t="shared" si="33"/>
        <v>278.17379723230181</v>
      </c>
      <c r="Q76" s="13">
        <f t="shared" si="30"/>
        <v>3686.3754116312821</v>
      </c>
    </row>
    <row r="78" spans="2:17" x14ac:dyDescent="0.35">
      <c r="B78" s="3" t="s">
        <v>248</v>
      </c>
      <c r="Q78" s="120" t="s">
        <v>164</v>
      </c>
    </row>
    <row r="79" spans="2:17" x14ac:dyDescent="0.35">
      <c r="B79" s="187" t="s">
        <v>170</v>
      </c>
      <c r="C79" s="152" t="s">
        <v>172</v>
      </c>
      <c r="D79" s="162"/>
      <c r="E79" s="162"/>
      <c r="F79" s="162"/>
      <c r="G79" s="153"/>
      <c r="H79" s="152" t="s">
        <v>131</v>
      </c>
      <c r="I79" s="162"/>
      <c r="J79" s="162"/>
      <c r="K79" s="162"/>
      <c r="L79" s="153"/>
      <c r="M79" s="152" t="s">
        <v>132</v>
      </c>
      <c r="N79" s="162"/>
      <c r="O79" s="162"/>
      <c r="P79" s="162"/>
      <c r="Q79" s="153"/>
    </row>
    <row r="80" spans="2:17" ht="45" x14ac:dyDescent="0.35">
      <c r="B80" s="187"/>
      <c r="C80" s="96" t="s">
        <v>238</v>
      </c>
      <c r="D80" s="96" t="s">
        <v>239</v>
      </c>
      <c r="E80" s="96" t="s">
        <v>240</v>
      </c>
      <c r="F80" s="96" t="s">
        <v>241</v>
      </c>
      <c r="G80" s="96" t="s">
        <v>242</v>
      </c>
      <c r="H80" s="96" t="s">
        <v>238</v>
      </c>
      <c r="I80" s="96" t="s">
        <v>239</v>
      </c>
      <c r="J80" s="96" t="s">
        <v>240</v>
      </c>
      <c r="K80" s="96" t="s">
        <v>241</v>
      </c>
      <c r="L80" s="96" t="s">
        <v>242</v>
      </c>
      <c r="M80" s="96" t="s">
        <v>238</v>
      </c>
      <c r="N80" s="96" t="s">
        <v>239</v>
      </c>
      <c r="O80" s="96" t="s">
        <v>240</v>
      </c>
      <c r="P80" s="96" t="s">
        <v>241</v>
      </c>
      <c r="Q80" s="96" t="s">
        <v>242</v>
      </c>
    </row>
    <row r="81" spans="2:17" x14ac:dyDescent="0.35">
      <c r="B81" s="7" t="s">
        <v>43</v>
      </c>
      <c r="C81" s="9">
        <v>103.55327485117211</v>
      </c>
      <c r="D81" s="9">
        <v>12.942035404910701</v>
      </c>
      <c r="E81" s="9">
        <v>1.47</v>
      </c>
      <c r="F81" s="9">
        <v>2.1</v>
      </c>
      <c r="G81" s="13">
        <f>SUM(C81:F81)</f>
        <v>120.0653102560828</v>
      </c>
      <c r="H81" s="9">
        <v>108.39838081626532</v>
      </c>
      <c r="I81" s="9">
        <v>0</v>
      </c>
      <c r="J81" s="9">
        <v>11.945734</v>
      </c>
      <c r="K81" s="9">
        <f>K62</f>
        <v>3.7387613266099149</v>
      </c>
      <c r="L81" s="13">
        <f>SUM(H81:K81)</f>
        <v>124.08287614287524</v>
      </c>
      <c r="M81" s="9">
        <f>'O&amp;M expenses'!Q25</f>
        <v>100.49393321033791</v>
      </c>
      <c r="N81" s="9">
        <f>N62*(1+'O&amp;M expenses'!$L$25)</f>
        <v>7.9098842342019227</v>
      </c>
      <c r="O81" s="9">
        <f>W43</f>
        <v>11.26</v>
      </c>
      <c r="P81" s="9">
        <f>X43</f>
        <v>3.7387613266099149</v>
      </c>
      <c r="Q81" s="13">
        <f>SUM(M81:P81)</f>
        <v>123.40257877114976</v>
      </c>
    </row>
    <row r="82" spans="2:17" x14ac:dyDescent="0.35">
      <c r="B82" s="7" t="s">
        <v>150</v>
      </c>
      <c r="C82" s="9">
        <v>568.74842532061791</v>
      </c>
      <c r="D82" s="9">
        <v>50.197298734800647</v>
      </c>
      <c r="E82" s="9">
        <v>9.8699999999999992</v>
      </c>
      <c r="F82" s="9">
        <v>82.11</v>
      </c>
      <c r="G82" s="13">
        <f t="shared" ref="G82:G95" si="34">SUM(C82:F82)</f>
        <v>710.92572405541853</v>
      </c>
      <c r="H82" s="9">
        <v>651.71658654157272</v>
      </c>
      <c r="I82" s="9">
        <v>0</v>
      </c>
      <c r="J82" s="9">
        <v>11.638073</v>
      </c>
      <c r="K82" s="9">
        <f t="shared" ref="K82:K94" si="35">K63</f>
        <v>46.503103609319339</v>
      </c>
      <c r="L82" s="13">
        <f t="shared" ref="L82:L95" si="36">SUM(H82:K82)</f>
        <v>709.85776315089197</v>
      </c>
      <c r="M82" s="9">
        <f>'O&amp;M expenses'!Q26</f>
        <v>618.4280937183986</v>
      </c>
      <c r="N82" s="9">
        <f>N63*(1+'O&amp;M expenses'!$L$25)</f>
        <v>33.28849282317411</v>
      </c>
      <c r="O82" s="9">
        <f t="shared" ref="O82:P94" si="37">W44</f>
        <v>10.969999999999999</v>
      </c>
      <c r="P82" s="9">
        <f t="shared" si="37"/>
        <v>46.503103609319339</v>
      </c>
      <c r="Q82" s="13">
        <f t="shared" ref="Q82:Q95" si="38">SUM(M82:P82)</f>
        <v>709.18969015089215</v>
      </c>
    </row>
    <row r="83" spans="2:17" x14ac:dyDescent="0.35">
      <c r="B83" s="7" t="s">
        <v>151</v>
      </c>
      <c r="C83" s="9">
        <v>270.15923313798339</v>
      </c>
      <c r="D83" s="9">
        <v>20.894372201133937</v>
      </c>
      <c r="E83" s="9">
        <v>6.54</v>
      </c>
      <c r="F83" s="9">
        <v>34.01</v>
      </c>
      <c r="G83" s="13">
        <f t="shared" si="34"/>
        <v>331.60360533911734</v>
      </c>
      <c r="H83" s="9">
        <v>306.53658934351114</v>
      </c>
      <c r="I83" s="9">
        <v>0</v>
      </c>
      <c r="J83" s="9">
        <v>4.5406519999999997</v>
      </c>
      <c r="K83" s="9">
        <f t="shared" si="35"/>
        <v>28.924553891728827</v>
      </c>
      <c r="L83" s="13">
        <f t="shared" si="36"/>
        <v>340.00179523523997</v>
      </c>
      <c r="M83" s="9">
        <f>'O&amp;M expenses'!Q27</f>
        <v>289.2183420827522</v>
      </c>
      <c r="N83" s="9">
        <f>N64*(1+'O&amp;M expenses'!$L$25)</f>
        <v>17.318247260758994</v>
      </c>
      <c r="O83" s="9">
        <f t="shared" si="37"/>
        <v>60.089999999999996</v>
      </c>
      <c r="P83" s="9">
        <f t="shared" si="37"/>
        <v>28.924553891728827</v>
      </c>
      <c r="Q83" s="13">
        <f t="shared" si="38"/>
        <v>395.55114323523998</v>
      </c>
    </row>
    <row r="84" spans="2:17" x14ac:dyDescent="0.35">
      <c r="B84" s="7" t="s">
        <v>44</v>
      </c>
      <c r="C84" s="9">
        <v>207.30404676558794</v>
      </c>
      <c r="D84" s="9">
        <v>17.386465976523549</v>
      </c>
      <c r="E84" s="9">
        <v>3.37</v>
      </c>
      <c r="F84" s="9">
        <v>3.65</v>
      </c>
      <c r="G84" s="13">
        <f t="shared" si="34"/>
        <v>231.71051274211149</v>
      </c>
      <c r="H84" s="9">
        <v>195.71296878419511</v>
      </c>
      <c r="I84" s="9">
        <v>0</v>
      </c>
      <c r="J84" s="9">
        <v>41.088657000000005</v>
      </c>
      <c r="K84" s="9">
        <f t="shared" si="35"/>
        <v>13.395261070082189</v>
      </c>
      <c r="L84" s="13">
        <f t="shared" si="36"/>
        <v>250.19688685427732</v>
      </c>
      <c r="M84" s="9">
        <f>'O&amp;M expenses'!Q28</f>
        <v>183.15011108254834</v>
      </c>
      <c r="N84" s="9">
        <f>N65*(1+'O&amp;M expenses'!$L$25)</f>
        <v>12.562363845391964</v>
      </c>
      <c r="O84" s="9">
        <f t="shared" si="37"/>
        <v>38.730000000000004</v>
      </c>
      <c r="P84" s="9">
        <f t="shared" si="37"/>
        <v>13.395261070082189</v>
      </c>
      <c r="Q84" s="13">
        <f t="shared" si="38"/>
        <v>247.83773599802248</v>
      </c>
    </row>
    <row r="85" spans="2:17" x14ac:dyDescent="0.35">
      <c r="B85" s="7" t="s">
        <v>152</v>
      </c>
      <c r="C85" s="9">
        <v>281.73092477295199</v>
      </c>
      <c r="D85" s="9">
        <v>25.246774368706081</v>
      </c>
      <c r="E85" s="9">
        <v>58.47</v>
      </c>
      <c r="F85" s="9">
        <v>24.78</v>
      </c>
      <c r="G85" s="13">
        <f t="shared" si="34"/>
        <v>390.22769914165804</v>
      </c>
      <c r="H85" s="9">
        <v>303.0015792154382</v>
      </c>
      <c r="I85" s="9">
        <v>0</v>
      </c>
      <c r="J85" s="9">
        <v>14.407022000000001</v>
      </c>
      <c r="K85" s="9">
        <f t="shared" si="35"/>
        <v>28.656986204999999</v>
      </c>
      <c r="L85" s="13">
        <f t="shared" si="36"/>
        <v>346.06558742043819</v>
      </c>
      <c r="M85" s="9">
        <f>'O&amp;M expenses'!Q29</f>
        <v>283.72447635848994</v>
      </c>
      <c r="N85" s="9">
        <f>N66*(1+'O&amp;M expenses'!$L$25)</f>
        <v>19.27710285694825</v>
      </c>
      <c r="O85" s="9">
        <f t="shared" si="37"/>
        <v>13.58</v>
      </c>
      <c r="P85" s="9">
        <f t="shared" si="37"/>
        <v>28.656986204999999</v>
      </c>
      <c r="Q85" s="13">
        <f t="shared" si="38"/>
        <v>345.23856542043819</v>
      </c>
    </row>
    <row r="86" spans="2:17" x14ac:dyDescent="0.35">
      <c r="B86" s="7" t="s">
        <v>154</v>
      </c>
      <c r="C86" s="9">
        <v>85.372729520396547</v>
      </c>
      <c r="D86" s="9">
        <v>7.8479925694811099</v>
      </c>
      <c r="E86" s="9">
        <v>0.87</v>
      </c>
      <c r="F86" s="9">
        <v>0.11</v>
      </c>
      <c r="G86" s="13">
        <f t="shared" si="34"/>
        <v>94.200722089877658</v>
      </c>
      <c r="H86" s="9">
        <v>101.78692048510418</v>
      </c>
      <c r="I86" s="9">
        <v>0</v>
      </c>
      <c r="J86" s="9">
        <v>1.1882080000000002</v>
      </c>
      <c r="K86" s="9">
        <f t="shared" si="35"/>
        <v>0.14087641200000001</v>
      </c>
      <c r="L86" s="13">
        <f t="shared" si="36"/>
        <v>103.11600489710418</v>
      </c>
      <c r="M86" s="9">
        <f>'O&amp;M expenses'!Q30</f>
        <v>94.856857057934178</v>
      </c>
      <c r="N86" s="9">
        <f>N67*(1+'O&amp;M expenses'!$L$25)</f>
        <v>6.9300634271700057</v>
      </c>
      <c r="O86" s="9">
        <f t="shared" si="37"/>
        <v>1.1200000000000001</v>
      </c>
      <c r="P86" s="9">
        <f t="shared" si="37"/>
        <v>0.14087641200000001</v>
      </c>
      <c r="Q86" s="13">
        <f t="shared" si="38"/>
        <v>103.04779689710419</v>
      </c>
    </row>
    <row r="87" spans="2:17" x14ac:dyDescent="0.35">
      <c r="B87" s="7" t="s">
        <v>155</v>
      </c>
      <c r="C87" s="9">
        <v>155.05000000000001</v>
      </c>
      <c r="D87" s="9">
        <v>16.363326661012188</v>
      </c>
      <c r="E87" s="9">
        <v>4.83</v>
      </c>
      <c r="F87" s="9">
        <v>19.16</v>
      </c>
      <c r="G87" s="13">
        <f t="shared" si="34"/>
        <v>195.40332666101222</v>
      </c>
      <c r="H87" s="9">
        <v>185.93828337546566</v>
      </c>
      <c r="I87" s="9">
        <v>0</v>
      </c>
      <c r="J87" s="9">
        <v>63.749481000000003</v>
      </c>
      <c r="K87" s="9">
        <f t="shared" si="35"/>
        <v>17.438010212000002</v>
      </c>
      <c r="L87" s="13">
        <f t="shared" si="36"/>
        <v>267.12577458746568</v>
      </c>
      <c r="M87" s="9">
        <f>'O&amp;M expenses'!L36</f>
        <v>155.05000000000001</v>
      </c>
      <c r="N87" s="9">
        <f>N68*(1+'O&amp;M expenses'!$L$25)</f>
        <v>10.628469633947963</v>
      </c>
      <c r="O87" s="9">
        <f t="shared" si="37"/>
        <v>4.2799999999999994</v>
      </c>
      <c r="P87" s="9">
        <f t="shared" si="37"/>
        <v>17.438010212000002</v>
      </c>
      <c r="Q87" s="13">
        <f t="shared" si="38"/>
        <v>187.39647984594797</v>
      </c>
    </row>
    <row r="88" spans="2:17" x14ac:dyDescent="0.35">
      <c r="B88" s="7" t="s">
        <v>156</v>
      </c>
      <c r="C88" s="9">
        <v>155.05000000000001</v>
      </c>
      <c r="D88" s="9">
        <v>15.064102133378709</v>
      </c>
      <c r="E88" s="9">
        <v>19.899999999999999</v>
      </c>
      <c r="F88" s="9">
        <v>9.64</v>
      </c>
      <c r="G88" s="13">
        <f t="shared" si="34"/>
        <v>199.65410213337873</v>
      </c>
      <c r="H88" s="9">
        <v>182.83340424153977</v>
      </c>
      <c r="I88" s="9">
        <v>0</v>
      </c>
      <c r="J88" s="9">
        <v>14.449458</v>
      </c>
      <c r="K88" s="9">
        <f t="shared" si="35"/>
        <v>8.9682443947543717</v>
      </c>
      <c r="L88" s="13">
        <f t="shared" si="36"/>
        <v>206.25110663629414</v>
      </c>
      <c r="M88" s="9">
        <f>'O&amp;M expenses'!L37</f>
        <v>155.05000000000001</v>
      </c>
      <c r="N88" s="9">
        <f>N69*(1+'O&amp;M expenses'!$L$25)</f>
        <v>12.961265425378848</v>
      </c>
      <c r="O88" s="9">
        <f t="shared" si="37"/>
        <v>13.62</v>
      </c>
      <c r="P88" s="9">
        <f t="shared" si="37"/>
        <v>8.9682443947543717</v>
      </c>
      <c r="Q88" s="13">
        <f t="shared" si="38"/>
        <v>190.59950982013325</v>
      </c>
    </row>
    <row r="89" spans="2:17" x14ac:dyDescent="0.35">
      <c r="B89" s="7" t="s">
        <v>8</v>
      </c>
      <c r="C89" s="9">
        <v>103.1</v>
      </c>
      <c r="D89" s="9">
        <v>11.258456954518985</v>
      </c>
      <c r="E89" s="9">
        <v>4.58</v>
      </c>
      <c r="F89" s="9">
        <v>21.23</v>
      </c>
      <c r="G89" s="13">
        <f t="shared" si="34"/>
        <v>140.16845695451897</v>
      </c>
      <c r="H89" s="9">
        <v>131.15444191570123</v>
      </c>
      <c r="I89" s="9">
        <v>0</v>
      </c>
      <c r="J89" s="9">
        <v>38.043874000000002</v>
      </c>
      <c r="K89" s="9">
        <f t="shared" si="35"/>
        <v>9.182445090271159</v>
      </c>
      <c r="L89" s="13">
        <f t="shared" si="36"/>
        <v>178.3807610059724</v>
      </c>
      <c r="M89" s="9">
        <f>'O&amp;M expenses'!L38</f>
        <v>103.1</v>
      </c>
      <c r="N89" s="9">
        <f>N70*(1+'O&amp;M expenses'!$L$25)</f>
        <v>6.4976909305190791</v>
      </c>
      <c r="O89" s="9">
        <f t="shared" si="37"/>
        <v>35.86</v>
      </c>
      <c r="P89" s="9">
        <f t="shared" si="37"/>
        <v>9.182445090271159</v>
      </c>
      <c r="Q89" s="13">
        <f t="shared" si="38"/>
        <v>154.64013602079024</v>
      </c>
    </row>
    <row r="90" spans="2:17" x14ac:dyDescent="0.35">
      <c r="B90" s="7" t="s">
        <v>157</v>
      </c>
      <c r="C90" s="9">
        <v>206.2</v>
      </c>
      <c r="D90" s="9">
        <v>20.66700790879808</v>
      </c>
      <c r="E90" s="9">
        <v>12.25</v>
      </c>
      <c r="F90" s="9">
        <v>52.81</v>
      </c>
      <c r="G90" s="13">
        <f t="shared" si="34"/>
        <v>291.92700790879803</v>
      </c>
      <c r="H90" s="9">
        <v>249.32605933134545</v>
      </c>
      <c r="I90" s="9">
        <v>0</v>
      </c>
      <c r="J90" s="9">
        <v>3.331226</v>
      </c>
      <c r="K90" s="9">
        <f t="shared" si="35"/>
        <v>31.454819047390089</v>
      </c>
      <c r="L90" s="13">
        <f t="shared" si="36"/>
        <v>284.11210437873552</v>
      </c>
      <c r="M90" s="9">
        <f>'O&amp;M expenses'!L39</f>
        <v>206.2</v>
      </c>
      <c r="N90" s="9">
        <f>N71*(1+'O&amp;M expenses'!$L$25)</f>
        <v>16.319508472425394</v>
      </c>
      <c r="O90" s="9">
        <f t="shared" si="37"/>
        <v>3.1399999999999997</v>
      </c>
      <c r="P90" s="9">
        <f t="shared" si="37"/>
        <v>31.454819047390089</v>
      </c>
      <c r="Q90" s="13">
        <f t="shared" si="38"/>
        <v>257.11432751981545</v>
      </c>
    </row>
    <row r="91" spans="2:17" x14ac:dyDescent="0.35">
      <c r="B91" s="7" t="s">
        <v>158</v>
      </c>
      <c r="C91" s="9">
        <v>319.06380000000007</v>
      </c>
      <c r="D91" s="9">
        <v>25.203466884451636</v>
      </c>
      <c r="E91" s="9">
        <v>39.770000000000003</v>
      </c>
      <c r="F91" s="9">
        <v>55.84</v>
      </c>
      <c r="G91" s="13">
        <f t="shared" si="34"/>
        <v>439.87726688445173</v>
      </c>
      <c r="H91" s="9">
        <v>418.43491189218747</v>
      </c>
      <c r="I91" s="9">
        <v>0</v>
      </c>
      <c r="J91" s="9">
        <v>86.781620000000004</v>
      </c>
      <c r="K91" s="9">
        <f t="shared" si="35"/>
        <v>29.731453326917809</v>
      </c>
      <c r="L91" s="13">
        <f t="shared" si="36"/>
        <v>534.94798521910536</v>
      </c>
      <c r="M91" s="9">
        <f>'O&amp;M expenses'!L40</f>
        <v>330.06600000000003</v>
      </c>
      <c r="N91" s="9">
        <f>N72*(1+'O&amp;M expenses'!$L$25)</f>
        <v>22.403811133121405</v>
      </c>
      <c r="O91" s="9">
        <f t="shared" si="37"/>
        <v>81.8</v>
      </c>
      <c r="P91" s="9">
        <f t="shared" si="37"/>
        <v>29.731453326917809</v>
      </c>
      <c r="Q91" s="13">
        <f t="shared" si="38"/>
        <v>464.00126446003924</v>
      </c>
    </row>
    <row r="92" spans="2:17" x14ac:dyDescent="0.35">
      <c r="B92" s="7" t="s">
        <v>159</v>
      </c>
      <c r="C92" s="9">
        <v>206.2</v>
      </c>
      <c r="D92" s="9">
        <v>19.237860928401254</v>
      </c>
      <c r="E92" s="9">
        <v>3.86</v>
      </c>
      <c r="F92" s="9">
        <v>32.07</v>
      </c>
      <c r="G92" s="13">
        <f t="shared" si="34"/>
        <v>261.36786092840129</v>
      </c>
      <c r="H92" s="9">
        <v>235.37252275249412</v>
      </c>
      <c r="I92" s="9">
        <v>0</v>
      </c>
      <c r="J92" s="9">
        <v>6.0577390000000007</v>
      </c>
      <c r="K92" s="9">
        <f t="shared" si="35"/>
        <v>53.837038572982451</v>
      </c>
      <c r="L92" s="13">
        <f t="shared" si="36"/>
        <v>295.26730032547658</v>
      </c>
      <c r="M92" s="9">
        <f>'O&amp;M expenses'!L41</f>
        <v>206.2</v>
      </c>
      <c r="N92" s="9">
        <f>N73*(1+'O&amp;M expenses'!$L$25)</f>
        <v>12.53835794579118</v>
      </c>
      <c r="O92" s="9">
        <f t="shared" si="37"/>
        <v>5.71</v>
      </c>
      <c r="P92" s="9">
        <f t="shared" si="37"/>
        <v>53.837038572982451</v>
      </c>
      <c r="Q92" s="13">
        <f t="shared" si="38"/>
        <v>278.28539651877361</v>
      </c>
    </row>
    <row r="93" spans="2:17" x14ac:dyDescent="0.35">
      <c r="B93" s="7" t="s">
        <v>160</v>
      </c>
      <c r="C93" s="9">
        <v>77.525000000000006</v>
      </c>
      <c r="D93" s="9">
        <v>8.2756539764937962</v>
      </c>
      <c r="E93" s="9">
        <v>17.5</v>
      </c>
      <c r="F93" s="9">
        <v>7.87</v>
      </c>
      <c r="G93" s="13">
        <f t="shared" si="34"/>
        <v>111.17065397649381</v>
      </c>
      <c r="H93" s="9">
        <v>102.2233665536377</v>
      </c>
      <c r="I93" s="9">
        <v>0</v>
      </c>
      <c r="J93" s="9">
        <v>8.9646050000000006</v>
      </c>
      <c r="K93" s="9">
        <f t="shared" si="35"/>
        <v>5.8942368882456275</v>
      </c>
      <c r="L93" s="13">
        <f t="shared" si="36"/>
        <v>117.08220844188334</v>
      </c>
      <c r="M93" s="9">
        <f>'O&amp;M expenses'!L42</f>
        <v>77.525000000000006</v>
      </c>
      <c r="N93" s="9">
        <f>N74*(1+'O&amp;M expenses'!$L$25)</f>
        <v>5.4854571475377139</v>
      </c>
      <c r="O93" s="9">
        <f t="shared" si="37"/>
        <v>8.4499999999999993</v>
      </c>
      <c r="P93" s="9">
        <f t="shared" si="37"/>
        <v>5.8942368882456275</v>
      </c>
      <c r="Q93" s="13">
        <f t="shared" si="38"/>
        <v>97.354694035783353</v>
      </c>
    </row>
    <row r="94" spans="2:17" x14ac:dyDescent="0.35">
      <c r="B94" s="7" t="s">
        <v>161</v>
      </c>
      <c r="C94" s="9">
        <v>203.33031096935937</v>
      </c>
      <c r="D94" s="9">
        <v>28.040107103118064</v>
      </c>
      <c r="E94" s="9">
        <v>0</v>
      </c>
      <c r="F94" s="9">
        <v>0.61</v>
      </c>
      <c r="G94" s="13">
        <f t="shared" si="34"/>
        <v>231.98041807247745</v>
      </c>
      <c r="H94" s="9">
        <v>251.3609218227538</v>
      </c>
      <c r="I94" s="9">
        <v>0</v>
      </c>
      <c r="J94" s="9">
        <v>0</v>
      </c>
      <c r="K94" s="9">
        <f t="shared" si="35"/>
        <v>0.3084248</v>
      </c>
      <c r="L94" s="13">
        <f t="shared" si="36"/>
        <v>251.66934662275381</v>
      </c>
      <c r="M94" s="9">
        <f>'O&amp;M expenses'!Q31</f>
        <v>226.58315250973652</v>
      </c>
      <c r="N94" s="9">
        <f>N75*(1+'O&amp;M expenses'!$L$25)</f>
        <v>24.77776931301727</v>
      </c>
      <c r="O94" s="9">
        <f t="shared" si="37"/>
        <v>0</v>
      </c>
      <c r="P94" s="9">
        <f t="shared" si="37"/>
        <v>0.30800718500000002</v>
      </c>
      <c r="Q94" s="13">
        <f t="shared" si="38"/>
        <v>251.6689290077538</v>
      </c>
    </row>
    <row r="95" spans="2:17" x14ac:dyDescent="0.35">
      <c r="B95" s="12" t="s">
        <v>27</v>
      </c>
      <c r="C95" s="13">
        <f>SUM(C81:C94)</f>
        <v>2942.3877453380687</v>
      </c>
      <c r="D95" s="13">
        <f t="shared" ref="D95:F95" si="39">SUM(D81:D94)</f>
        <v>278.62492180572877</v>
      </c>
      <c r="E95" s="13">
        <f t="shared" si="39"/>
        <v>183.28</v>
      </c>
      <c r="F95" s="13">
        <f t="shared" si="39"/>
        <v>345.99</v>
      </c>
      <c r="G95" s="13">
        <f t="shared" si="34"/>
        <v>3750.2826671437979</v>
      </c>
      <c r="H95" s="13">
        <f>SUM(H81:H94)</f>
        <v>3423.7969370712117</v>
      </c>
      <c r="I95" s="13">
        <f t="shared" ref="I95:K95" si="40">SUM(I81:I94)</f>
        <v>0</v>
      </c>
      <c r="J95" s="13">
        <f t="shared" si="40"/>
        <v>306.18634900000006</v>
      </c>
      <c r="K95" s="13">
        <f t="shared" si="40"/>
        <v>278.17421484730181</v>
      </c>
      <c r="L95" s="13">
        <f t="shared" si="36"/>
        <v>4008.1575009185135</v>
      </c>
      <c r="M95" s="13">
        <f>SUM(M81:M94)</f>
        <v>3029.6459660201976</v>
      </c>
      <c r="N95" s="13">
        <f t="shared" ref="N95:P95" si="41">SUM(N81:N94)</f>
        <v>208.89848444938409</v>
      </c>
      <c r="O95" s="13">
        <f t="shared" si="41"/>
        <v>288.60999999999996</v>
      </c>
      <c r="P95" s="13">
        <f t="shared" si="41"/>
        <v>278.17379723230181</v>
      </c>
      <c r="Q95" s="13">
        <f t="shared" si="38"/>
        <v>3805.3282477018834</v>
      </c>
    </row>
    <row r="97" spans="2:17" x14ac:dyDescent="0.35">
      <c r="B97" s="3" t="s">
        <v>249</v>
      </c>
      <c r="Q97" s="120" t="s">
        <v>164</v>
      </c>
    </row>
    <row r="98" spans="2:17" x14ac:dyDescent="0.35">
      <c r="B98" s="187" t="s">
        <v>170</v>
      </c>
      <c r="C98" s="152" t="s">
        <v>172</v>
      </c>
      <c r="D98" s="162"/>
      <c r="E98" s="162"/>
      <c r="F98" s="162"/>
      <c r="G98" s="153"/>
      <c r="H98" s="152" t="s">
        <v>131</v>
      </c>
      <c r="I98" s="162"/>
      <c r="J98" s="162"/>
      <c r="K98" s="162"/>
      <c r="L98" s="153"/>
      <c r="M98" s="152" t="s">
        <v>132</v>
      </c>
      <c r="N98" s="162"/>
      <c r="O98" s="162"/>
      <c r="P98" s="162"/>
      <c r="Q98" s="153"/>
    </row>
    <row r="99" spans="2:17" ht="45" x14ac:dyDescent="0.35">
      <c r="B99" s="187"/>
      <c r="C99" s="96" t="s">
        <v>238</v>
      </c>
      <c r="D99" s="96" t="s">
        <v>239</v>
      </c>
      <c r="E99" s="96" t="s">
        <v>240</v>
      </c>
      <c r="F99" s="96" t="s">
        <v>241</v>
      </c>
      <c r="G99" s="96" t="s">
        <v>242</v>
      </c>
      <c r="H99" s="96" t="s">
        <v>238</v>
      </c>
      <c r="I99" s="96" t="s">
        <v>239</v>
      </c>
      <c r="J99" s="96" t="s">
        <v>240</v>
      </c>
      <c r="K99" s="96" t="s">
        <v>241</v>
      </c>
      <c r="L99" s="96" t="s">
        <v>242</v>
      </c>
      <c r="M99" s="96" t="s">
        <v>238</v>
      </c>
      <c r="N99" s="96" t="s">
        <v>239</v>
      </c>
      <c r="O99" s="96" t="s">
        <v>240</v>
      </c>
      <c r="P99" s="96" t="s">
        <v>241</v>
      </c>
      <c r="Q99" s="96" t="s">
        <v>242</v>
      </c>
    </row>
    <row r="100" spans="2:17" x14ac:dyDescent="0.35">
      <c r="B100" s="7" t="s">
        <v>43</v>
      </c>
      <c r="C100" s="9">
        <v>105.74860427801697</v>
      </c>
      <c r="D100" s="9">
        <v>13.21640655549481</v>
      </c>
      <c r="E100" s="9">
        <v>1.47</v>
      </c>
      <c r="F100" s="9">
        <v>2.1</v>
      </c>
      <c r="G100" s="13">
        <f>SUM(C100:F100)</f>
        <v>122.53501083351178</v>
      </c>
      <c r="H100" s="9">
        <v>112.6665286811817</v>
      </c>
      <c r="I100" s="9">
        <v>0</v>
      </c>
      <c r="J100" s="9">
        <v>12.304106020000001</v>
      </c>
      <c r="K100" s="9">
        <f>K81</f>
        <v>3.7387613266099149</v>
      </c>
      <c r="L100" s="13">
        <f>SUM(H100:K100)</f>
        <v>128.70939602779163</v>
      </c>
      <c r="M100" s="9">
        <f>'O&amp;M expenses'!R25</f>
        <v>104.45084624943372</v>
      </c>
      <c r="N100" s="9">
        <f>N81*(1+'O&amp;M expenses'!$M$25)</f>
        <v>8.221333125335903</v>
      </c>
      <c r="O100" s="9">
        <f>W43</f>
        <v>11.26</v>
      </c>
      <c r="P100" s="9">
        <f>X43</f>
        <v>3.7387613266099149</v>
      </c>
      <c r="Q100" s="13">
        <f>SUM(M100:P100)</f>
        <v>127.67094070137955</v>
      </c>
    </row>
    <row r="101" spans="2:17" x14ac:dyDescent="0.35">
      <c r="B101" s="7" t="s">
        <v>150</v>
      </c>
      <c r="C101" s="9">
        <v>580.80589193741503</v>
      </c>
      <c r="D101" s="9">
        <v>51.261481467978427</v>
      </c>
      <c r="E101" s="9">
        <v>9.8699999999999992</v>
      </c>
      <c r="F101" s="9">
        <v>82.11</v>
      </c>
      <c r="G101" s="13">
        <f t="shared" ref="G101:G114" si="42">SUM(C101:F101)</f>
        <v>724.0473734053935</v>
      </c>
      <c r="H101" s="9">
        <v>677.37769638870998</v>
      </c>
      <c r="I101" s="9">
        <v>0</v>
      </c>
      <c r="J101" s="9">
        <v>11.987215190000001</v>
      </c>
      <c r="K101" s="9">
        <f t="shared" ref="K101:K113" si="43">K82</f>
        <v>46.503103609319339</v>
      </c>
      <c r="L101" s="13">
        <f t="shared" ref="L101:L114" si="44">SUM(H101:K101)</f>
        <v>735.8680151880294</v>
      </c>
      <c r="M101" s="9">
        <f>'O&amp;M expenses'!R26</f>
        <v>642.77848094680655</v>
      </c>
      <c r="N101" s="9">
        <f>N82*(1+'O&amp;M expenses'!$M$25)</f>
        <v>34.599215441903446</v>
      </c>
      <c r="O101" s="9">
        <f t="shared" ref="O101:P113" si="45">W44</f>
        <v>10.969999999999999</v>
      </c>
      <c r="P101" s="9">
        <f t="shared" si="45"/>
        <v>46.503103609319339</v>
      </c>
      <c r="Q101" s="13">
        <f t="shared" ref="Q101:Q114" si="46">SUM(M101:P101)</f>
        <v>734.85079999802929</v>
      </c>
    </row>
    <row r="102" spans="2:17" x14ac:dyDescent="0.35">
      <c r="B102" s="7" t="s">
        <v>151</v>
      </c>
      <c r="C102" s="9">
        <v>275.88660888050867</v>
      </c>
      <c r="D102" s="9">
        <v>21.337332891797978</v>
      </c>
      <c r="E102" s="9">
        <v>6.54</v>
      </c>
      <c r="F102" s="9">
        <v>34.01</v>
      </c>
      <c r="G102" s="13">
        <f t="shared" si="42"/>
        <v>337.77394177230667</v>
      </c>
      <c r="H102" s="9">
        <v>318.60635901602029</v>
      </c>
      <c r="I102" s="9">
        <v>0</v>
      </c>
      <c r="J102" s="9">
        <v>4.6768715599999995</v>
      </c>
      <c r="K102" s="9">
        <f t="shared" si="43"/>
        <v>28.924553891728827</v>
      </c>
      <c r="L102" s="13">
        <f t="shared" si="44"/>
        <v>352.20778446774909</v>
      </c>
      <c r="M102" s="9">
        <f>'O&amp;M expenses'!R27</f>
        <v>300.6062119010985</v>
      </c>
      <c r="N102" s="9">
        <f>N83*(1+'O&amp;M expenses'!$M$25)</f>
        <v>18.000147114921862</v>
      </c>
      <c r="O102" s="9">
        <f t="shared" si="45"/>
        <v>60.089999999999996</v>
      </c>
      <c r="P102" s="9">
        <f t="shared" si="45"/>
        <v>28.924553891728827</v>
      </c>
      <c r="Q102" s="13">
        <f t="shared" si="46"/>
        <v>407.62091290774913</v>
      </c>
    </row>
    <row r="103" spans="2:17" x14ac:dyDescent="0.35">
      <c r="B103" s="7" t="s">
        <v>44</v>
      </c>
      <c r="C103" s="9">
        <v>211.69889255701844</v>
      </c>
      <c r="D103" s="9">
        <v>17.75505905522585</v>
      </c>
      <c r="E103" s="9">
        <v>3.37</v>
      </c>
      <c r="F103" s="9">
        <v>3.65</v>
      </c>
      <c r="G103" s="13">
        <f t="shared" si="42"/>
        <v>236.47395161224429</v>
      </c>
      <c r="H103" s="9">
        <v>203.41909763558996</v>
      </c>
      <c r="I103" s="9">
        <v>0</v>
      </c>
      <c r="J103" s="9">
        <v>42.321316710000005</v>
      </c>
      <c r="K103" s="9">
        <f t="shared" si="43"/>
        <v>13.395261070082189</v>
      </c>
      <c r="L103" s="13">
        <f t="shared" si="44"/>
        <v>259.13567541567215</v>
      </c>
      <c r="M103" s="9">
        <f>'O&amp;M expenses'!R28</f>
        <v>190.36158185996865</v>
      </c>
      <c r="N103" s="9">
        <f>N84*(1+'O&amp;M expenses'!$M$25)</f>
        <v>13.057002473951322</v>
      </c>
      <c r="O103" s="9">
        <f t="shared" si="45"/>
        <v>38.730000000000004</v>
      </c>
      <c r="P103" s="9">
        <f t="shared" si="45"/>
        <v>13.395261070082189</v>
      </c>
      <c r="Q103" s="13">
        <f t="shared" si="46"/>
        <v>255.54384540400218</v>
      </c>
    </row>
    <row r="104" spans="2:17" x14ac:dyDescent="0.35">
      <c r="B104" s="7" t="s">
        <v>152</v>
      </c>
      <c r="C104" s="9">
        <v>287.70362037813862</v>
      </c>
      <c r="D104" s="9">
        <v>25.782005985322652</v>
      </c>
      <c r="E104" s="9">
        <v>58.47</v>
      </c>
      <c r="F104" s="9">
        <v>24.78</v>
      </c>
      <c r="G104" s="13">
        <f t="shared" si="42"/>
        <v>396.73562636346128</v>
      </c>
      <c r="H104" s="9">
        <v>314.93215911576647</v>
      </c>
      <c r="I104" s="9">
        <v>0</v>
      </c>
      <c r="J104" s="9">
        <v>14.839232660000002</v>
      </c>
      <c r="K104" s="9">
        <f t="shared" si="43"/>
        <v>28.656986204999999</v>
      </c>
      <c r="L104" s="13">
        <f t="shared" si="44"/>
        <v>358.42837798076647</v>
      </c>
      <c r="M104" s="9">
        <f>'O&amp;M expenses'!R29</f>
        <v>294.89602715911127</v>
      </c>
      <c r="N104" s="9">
        <f>N85*(1+'O&amp;M expenses'!$M$25)</f>
        <v>20.036131956655165</v>
      </c>
      <c r="O104" s="9">
        <f t="shared" si="45"/>
        <v>13.58</v>
      </c>
      <c r="P104" s="9">
        <f t="shared" si="45"/>
        <v>28.656986204999999</v>
      </c>
      <c r="Q104" s="13">
        <f t="shared" si="46"/>
        <v>357.1691453207664</v>
      </c>
    </row>
    <row r="105" spans="2:17" x14ac:dyDescent="0.35">
      <c r="B105" s="7" t="s">
        <v>154</v>
      </c>
      <c r="C105" s="9">
        <v>87.182631386228962</v>
      </c>
      <c r="D105" s="9">
        <v>8.0143700119541101</v>
      </c>
      <c r="E105" s="9">
        <v>0.87</v>
      </c>
      <c r="F105" s="9">
        <v>0.11</v>
      </c>
      <c r="G105" s="13">
        <f t="shared" si="42"/>
        <v>96.17700139818308</v>
      </c>
      <c r="H105" s="9">
        <v>105.79474444034652</v>
      </c>
      <c r="I105" s="9">
        <v>0</v>
      </c>
      <c r="J105" s="9">
        <v>1.2238542400000001</v>
      </c>
      <c r="K105" s="9">
        <f t="shared" si="43"/>
        <v>0.14087641200000001</v>
      </c>
      <c r="L105" s="13">
        <f t="shared" si="44"/>
        <v>107.15947509234651</v>
      </c>
      <c r="M105" s="9">
        <f>'O&amp;M expenses'!R30</f>
        <v>98.591812219402328</v>
      </c>
      <c r="N105" s="9">
        <f>N86*(1+'O&amp;M expenses'!$M$25)</f>
        <v>7.2029322209442066</v>
      </c>
      <c r="O105" s="9">
        <f t="shared" si="45"/>
        <v>1.1200000000000001</v>
      </c>
      <c r="P105" s="9">
        <f t="shared" si="45"/>
        <v>0.14087641200000001</v>
      </c>
      <c r="Q105" s="13">
        <f t="shared" si="46"/>
        <v>107.05562085234654</v>
      </c>
    </row>
    <row r="106" spans="2:17" x14ac:dyDescent="0.35">
      <c r="B106" s="7" t="s">
        <v>155</v>
      </c>
      <c r="C106" s="9">
        <v>160.65</v>
      </c>
      <c r="D106" s="9">
        <v>16.710229186225646</v>
      </c>
      <c r="E106" s="9">
        <v>4.83</v>
      </c>
      <c r="F106" s="9">
        <v>19.16</v>
      </c>
      <c r="G106" s="13">
        <f t="shared" si="42"/>
        <v>201.35022918622565</v>
      </c>
      <c r="H106" s="9">
        <v>193.25953744973435</v>
      </c>
      <c r="I106" s="9">
        <v>0</v>
      </c>
      <c r="J106" s="9">
        <v>65.661965430000009</v>
      </c>
      <c r="K106" s="9">
        <f t="shared" si="43"/>
        <v>17.438010212000002</v>
      </c>
      <c r="L106" s="13">
        <f t="shared" si="44"/>
        <v>276.35951309173436</v>
      </c>
      <c r="M106" s="9">
        <f>'O&amp;M expenses'!M36</f>
        <v>160.65</v>
      </c>
      <c r="N106" s="9">
        <f>N87*(1+'O&amp;M expenses'!$M$25)</f>
        <v>11.046961862649747</v>
      </c>
      <c r="O106" s="9">
        <f t="shared" si="45"/>
        <v>4.2799999999999994</v>
      </c>
      <c r="P106" s="9">
        <f t="shared" si="45"/>
        <v>17.438010212000002</v>
      </c>
      <c r="Q106" s="13">
        <f t="shared" si="46"/>
        <v>193.41497207464974</v>
      </c>
    </row>
    <row r="107" spans="2:17" x14ac:dyDescent="0.35">
      <c r="B107" s="7" t="s">
        <v>156</v>
      </c>
      <c r="C107" s="9">
        <v>160.65</v>
      </c>
      <c r="D107" s="9">
        <v>15.38346109860634</v>
      </c>
      <c r="E107" s="9">
        <v>19.899999999999999</v>
      </c>
      <c r="F107" s="9">
        <v>9.64</v>
      </c>
      <c r="G107" s="13">
        <f t="shared" si="42"/>
        <v>205.57346109860634</v>
      </c>
      <c r="H107" s="9">
        <v>190.03240479922917</v>
      </c>
      <c r="I107" s="9">
        <v>0</v>
      </c>
      <c r="J107" s="9">
        <v>14.88294174</v>
      </c>
      <c r="K107" s="9">
        <f t="shared" si="43"/>
        <v>8.9682443947543717</v>
      </c>
      <c r="L107" s="13">
        <f t="shared" si="44"/>
        <v>213.88359093398356</v>
      </c>
      <c r="M107" s="9">
        <f>'O&amp;M expenses'!M37</f>
        <v>160.65</v>
      </c>
      <c r="N107" s="9">
        <f>N88*(1+'O&amp;M expenses'!$M$25)</f>
        <v>13.471610662414385</v>
      </c>
      <c r="O107" s="9">
        <f t="shared" si="45"/>
        <v>13.62</v>
      </c>
      <c r="P107" s="9">
        <f t="shared" si="45"/>
        <v>8.9682443947543717</v>
      </c>
      <c r="Q107" s="13">
        <f t="shared" si="46"/>
        <v>196.70985505716877</v>
      </c>
    </row>
    <row r="108" spans="2:17" x14ac:dyDescent="0.35">
      <c r="B108" s="7" t="s">
        <v>8</v>
      </c>
      <c r="C108" s="9">
        <v>106.8</v>
      </c>
      <c r="D108" s="9">
        <v>11.49713624195479</v>
      </c>
      <c r="E108" s="9">
        <v>4.58</v>
      </c>
      <c r="F108" s="9">
        <v>21.23</v>
      </c>
      <c r="G108" s="13">
        <f t="shared" si="42"/>
        <v>144.10713624195478</v>
      </c>
      <c r="H108" s="9">
        <v>136.31860162935632</v>
      </c>
      <c r="I108" s="9">
        <v>0</v>
      </c>
      <c r="J108" s="9">
        <v>39.185190220000003</v>
      </c>
      <c r="K108" s="9">
        <f t="shared" si="43"/>
        <v>9.182445090271159</v>
      </c>
      <c r="L108" s="13">
        <f t="shared" si="44"/>
        <v>184.68623693962749</v>
      </c>
      <c r="M108" s="9">
        <f>'O&amp;M expenses'!M38</f>
        <v>106.8</v>
      </c>
      <c r="N108" s="9">
        <f>N89*(1+'O&amp;M expenses'!$M$25)</f>
        <v>6.7535352103242268</v>
      </c>
      <c r="O108" s="9">
        <f t="shared" si="45"/>
        <v>35.86</v>
      </c>
      <c r="P108" s="9">
        <f t="shared" si="45"/>
        <v>9.182445090271159</v>
      </c>
      <c r="Q108" s="13">
        <f t="shared" si="46"/>
        <v>158.59598030059539</v>
      </c>
    </row>
    <row r="109" spans="2:17" x14ac:dyDescent="0.35">
      <c r="B109" s="7" t="s">
        <v>157</v>
      </c>
      <c r="C109" s="9">
        <v>213.6</v>
      </c>
      <c r="D109" s="9">
        <v>21.105148476464603</v>
      </c>
      <c r="E109" s="9">
        <v>12.25</v>
      </c>
      <c r="F109" s="9">
        <v>52.81</v>
      </c>
      <c r="G109" s="13">
        <f t="shared" si="42"/>
        <v>299.76514847646456</v>
      </c>
      <c r="H109" s="9">
        <v>259.14318464068788</v>
      </c>
      <c r="I109" s="9">
        <v>0</v>
      </c>
      <c r="J109" s="9">
        <v>3.4311627800000002</v>
      </c>
      <c r="K109" s="9">
        <f t="shared" si="43"/>
        <v>31.454819047390089</v>
      </c>
      <c r="L109" s="13">
        <f t="shared" si="44"/>
        <v>294.02916646807796</v>
      </c>
      <c r="M109" s="9">
        <f>'O&amp;M expenses'!M39</f>
        <v>213.6</v>
      </c>
      <c r="N109" s="9">
        <f>N90*(1+'O&amp;M expenses'!$M$25)</f>
        <v>16.962083340412864</v>
      </c>
      <c r="O109" s="9">
        <f t="shared" si="45"/>
        <v>3.1399999999999997</v>
      </c>
      <c r="P109" s="9">
        <f t="shared" si="45"/>
        <v>31.454819047390089</v>
      </c>
      <c r="Q109" s="13">
        <f t="shared" si="46"/>
        <v>265.15690238780292</v>
      </c>
    </row>
    <row r="110" spans="2:17" x14ac:dyDescent="0.35">
      <c r="B110" s="7" t="s">
        <v>158</v>
      </c>
      <c r="C110" s="9">
        <v>330.5478</v>
      </c>
      <c r="D110" s="9">
        <v>25.737780382402015</v>
      </c>
      <c r="E110" s="9">
        <v>39.770000000000003</v>
      </c>
      <c r="F110" s="9">
        <v>55.84</v>
      </c>
      <c r="G110" s="13">
        <f t="shared" si="42"/>
        <v>451.89558038240204</v>
      </c>
      <c r="H110" s="9">
        <v>434.91063839613105</v>
      </c>
      <c r="I110" s="9">
        <v>0</v>
      </c>
      <c r="J110" s="9">
        <v>89.385068600000011</v>
      </c>
      <c r="K110" s="9">
        <f t="shared" si="43"/>
        <v>29.731453326917809</v>
      </c>
      <c r="L110" s="13">
        <f t="shared" si="44"/>
        <v>554.02716032304886</v>
      </c>
      <c r="M110" s="9">
        <f>'O&amp;M expenses'!M40</f>
        <v>341.94599999999997</v>
      </c>
      <c r="N110" s="9">
        <f>N91*(1+'O&amp;M expenses'!$M$25)</f>
        <v>23.285953264154728</v>
      </c>
      <c r="O110" s="9">
        <f t="shared" si="45"/>
        <v>81.8</v>
      </c>
      <c r="P110" s="9">
        <f t="shared" si="45"/>
        <v>29.731453326917809</v>
      </c>
      <c r="Q110" s="13">
        <f t="shared" si="46"/>
        <v>476.76340659107251</v>
      </c>
    </row>
    <row r="111" spans="2:17" x14ac:dyDescent="0.35">
      <c r="B111" s="7" t="s">
        <v>159</v>
      </c>
      <c r="C111" s="9">
        <v>213.6</v>
      </c>
      <c r="D111" s="9">
        <v>19.645703580083364</v>
      </c>
      <c r="E111" s="9">
        <v>3.86</v>
      </c>
      <c r="F111" s="9">
        <v>32.07</v>
      </c>
      <c r="G111" s="13">
        <f t="shared" si="42"/>
        <v>269.17570358008339</v>
      </c>
      <c r="H111" s="9">
        <v>244.64023249945834</v>
      </c>
      <c r="I111" s="9">
        <v>0</v>
      </c>
      <c r="J111" s="9">
        <v>6.2394711700000007</v>
      </c>
      <c r="K111" s="9">
        <f t="shared" si="43"/>
        <v>53.837038572982451</v>
      </c>
      <c r="L111" s="13">
        <f t="shared" si="44"/>
        <v>304.71674224244077</v>
      </c>
      <c r="M111" s="9">
        <f>'O&amp;M expenses'!M41</f>
        <v>213.6</v>
      </c>
      <c r="N111" s="9">
        <f>N92*(1+'O&amp;M expenses'!$M$25)</f>
        <v>13.032051350553328</v>
      </c>
      <c r="O111" s="9">
        <f t="shared" si="45"/>
        <v>5.71</v>
      </c>
      <c r="P111" s="9">
        <f t="shared" si="45"/>
        <v>53.837038572982451</v>
      </c>
      <c r="Q111" s="13">
        <f t="shared" si="46"/>
        <v>286.1790899235358</v>
      </c>
    </row>
    <row r="112" spans="2:17" x14ac:dyDescent="0.35">
      <c r="B112" s="7" t="s">
        <v>160</v>
      </c>
      <c r="C112" s="9">
        <v>80.325000000000003</v>
      </c>
      <c r="D112" s="9">
        <v>8.451097840795466</v>
      </c>
      <c r="E112" s="9">
        <v>17.5</v>
      </c>
      <c r="F112" s="9">
        <v>7.87</v>
      </c>
      <c r="G112" s="13">
        <f t="shared" si="42"/>
        <v>114.14609784079548</v>
      </c>
      <c r="H112" s="9">
        <v>106.24837541829969</v>
      </c>
      <c r="I112" s="9">
        <v>0</v>
      </c>
      <c r="J112" s="9">
        <v>9.2335431500000009</v>
      </c>
      <c r="K112" s="9">
        <f t="shared" si="43"/>
        <v>5.8942368882456275</v>
      </c>
      <c r="L112" s="13">
        <f t="shared" si="44"/>
        <v>121.37615545654532</v>
      </c>
      <c r="M112" s="9">
        <f>'O&amp;M expenses'!M42</f>
        <v>80.325000000000003</v>
      </c>
      <c r="N112" s="9">
        <f>N93*(1+'O&amp;M expenses'!$M$25)</f>
        <v>5.7014450805312693</v>
      </c>
      <c r="O112" s="9">
        <f t="shared" si="45"/>
        <v>8.4499999999999993</v>
      </c>
      <c r="P112" s="9">
        <f t="shared" si="45"/>
        <v>5.8942368882456275</v>
      </c>
      <c r="Q112" s="13">
        <f t="shared" si="46"/>
        <v>100.37068196877691</v>
      </c>
    </row>
    <row r="113" spans="2:17" x14ac:dyDescent="0.35">
      <c r="B113" s="7" t="s">
        <v>161</v>
      </c>
      <c r="C113" s="9">
        <v>207.64091356190983</v>
      </c>
      <c r="D113" s="9">
        <v>28.634557373704169</v>
      </c>
      <c r="E113" s="9">
        <v>0</v>
      </c>
      <c r="F113" s="9">
        <v>0.61</v>
      </c>
      <c r="G113" s="13">
        <f t="shared" si="42"/>
        <v>236.88547093561402</v>
      </c>
      <c r="H113" s="9">
        <v>261.25816912222842</v>
      </c>
      <c r="I113" s="9">
        <v>0</v>
      </c>
      <c r="J113" s="9">
        <v>0</v>
      </c>
      <c r="K113" s="9">
        <f t="shared" si="43"/>
        <v>0.3084248</v>
      </c>
      <c r="L113" s="13">
        <f t="shared" si="44"/>
        <v>261.56659392222844</v>
      </c>
      <c r="M113" s="9">
        <f>'O&amp;M expenses'!R31</f>
        <v>235.50478391537226</v>
      </c>
      <c r="N113" s="9">
        <f>N94*(1+'O&amp;M expenses'!$M$25)</f>
        <v>25.753385206856127</v>
      </c>
      <c r="O113" s="9">
        <f t="shared" si="45"/>
        <v>0</v>
      </c>
      <c r="P113" s="9">
        <f t="shared" si="45"/>
        <v>0.30800718500000002</v>
      </c>
      <c r="Q113" s="13">
        <f t="shared" si="46"/>
        <v>261.56617630722837</v>
      </c>
    </row>
    <row r="114" spans="2:17" x14ac:dyDescent="0.35">
      <c r="B114" s="12" t="s">
        <v>27</v>
      </c>
      <c r="C114" s="13">
        <f>SUM(C100:C113)</f>
        <v>3022.8399629792361</v>
      </c>
      <c r="D114" s="13">
        <f t="shared" ref="D114:F114" si="47">SUM(D100:D113)</f>
        <v>284.5317701480102</v>
      </c>
      <c r="E114" s="13">
        <f t="shared" si="47"/>
        <v>183.28</v>
      </c>
      <c r="F114" s="13">
        <f t="shared" si="47"/>
        <v>345.99</v>
      </c>
      <c r="G114" s="13">
        <f t="shared" si="42"/>
        <v>3836.6417331272469</v>
      </c>
      <c r="H114" s="13">
        <f>SUM(H100:H113)</f>
        <v>3558.60772923274</v>
      </c>
      <c r="I114" s="13">
        <f t="shared" ref="I114:K114" si="48">SUM(I100:I113)</f>
        <v>0</v>
      </c>
      <c r="J114" s="13">
        <f t="shared" si="48"/>
        <v>315.37193947000009</v>
      </c>
      <c r="K114" s="13">
        <f t="shared" si="48"/>
        <v>278.17421484730181</v>
      </c>
      <c r="L114" s="13">
        <f t="shared" si="44"/>
        <v>4152.1538835500423</v>
      </c>
      <c r="M114" s="13">
        <f>SUM(M100:M113)</f>
        <v>3144.760744251193</v>
      </c>
      <c r="N114" s="13">
        <f t="shared" ref="N114:P114" si="49">SUM(N100:N113)</f>
        <v>217.12378831160862</v>
      </c>
      <c r="O114" s="13">
        <f t="shared" si="49"/>
        <v>288.60999999999996</v>
      </c>
      <c r="P114" s="13">
        <f t="shared" si="49"/>
        <v>278.17379723230181</v>
      </c>
      <c r="Q114" s="13">
        <f t="shared" si="46"/>
        <v>3928.6683297951035</v>
      </c>
    </row>
  </sheetData>
  <mergeCells count="27">
    <mergeCell ref="B41:B42"/>
    <mergeCell ref="C41:G41"/>
    <mergeCell ref="H41:M41"/>
    <mergeCell ref="N41:S41"/>
    <mergeCell ref="C79:G79"/>
    <mergeCell ref="H79:L79"/>
    <mergeCell ref="M79:Q79"/>
    <mergeCell ref="B60:B61"/>
    <mergeCell ref="C60:G60"/>
    <mergeCell ref="H60:L60"/>
    <mergeCell ref="M60:Q60"/>
    <mergeCell ref="B98:B99"/>
    <mergeCell ref="C98:G98"/>
    <mergeCell ref="H98:L98"/>
    <mergeCell ref="M98:Q98"/>
    <mergeCell ref="T3:Y3"/>
    <mergeCell ref="B22:B23"/>
    <mergeCell ref="C22:G22"/>
    <mergeCell ref="H22:M22"/>
    <mergeCell ref="N22:S22"/>
    <mergeCell ref="T22:Y22"/>
    <mergeCell ref="B3:B4"/>
    <mergeCell ref="C3:G3"/>
    <mergeCell ref="H3:M3"/>
    <mergeCell ref="N3:S3"/>
    <mergeCell ref="T41:Y41"/>
    <mergeCell ref="B79:B80"/>
  </mergeCells>
  <pageMargins left="0.7" right="0.7" top="0.75" bottom="0.75" header="0.3" footer="0.3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42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8.453125" style="5" customWidth="1"/>
    <col min="3" max="3" width="29" style="5" customWidth="1"/>
    <col min="4" max="4" width="12.453125" style="5" customWidth="1"/>
    <col min="5" max="5" width="25.26953125" style="5" customWidth="1"/>
    <col min="6" max="6" width="12.453125" style="5" customWidth="1"/>
    <col min="7" max="7" width="25.26953125" style="5" customWidth="1"/>
    <col min="8" max="8" width="12.453125" style="5" customWidth="1"/>
    <col min="9" max="11" width="11.81640625" style="5" bestFit="1" customWidth="1"/>
    <col min="12" max="12" width="12.453125" style="5" customWidth="1"/>
    <col min="13" max="13" width="13.81640625" style="5" customWidth="1"/>
    <col min="14" max="16" width="11.81640625" style="5" bestFit="1" customWidth="1"/>
    <col min="17" max="17" width="12.453125" style="5" customWidth="1"/>
    <col min="18" max="18" width="13.81640625" style="5" customWidth="1"/>
    <col min="19" max="16384" width="9.1796875" style="5"/>
  </cols>
  <sheetData>
    <row r="2" spans="2:5" x14ac:dyDescent="0.35">
      <c r="B2" s="3" t="s">
        <v>250</v>
      </c>
      <c r="E2" s="120" t="s">
        <v>164</v>
      </c>
    </row>
    <row r="3" spans="2:5" ht="30" x14ac:dyDescent="0.35">
      <c r="B3" s="6" t="s">
        <v>170</v>
      </c>
      <c r="C3" s="96" t="s">
        <v>251</v>
      </c>
      <c r="D3" s="96" t="s">
        <v>252</v>
      </c>
      <c r="E3" s="96" t="s">
        <v>253</v>
      </c>
    </row>
    <row r="4" spans="2:5" x14ac:dyDescent="0.35">
      <c r="B4" s="7" t="s">
        <v>43</v>
      </c>
      <c r="C4" s="9">
        <f>71.8768925876671+5.29</f>
        <v>77.166892587667107</v>
      </c>
      <c r="D4" s="10">
        <v>2.5908853236022975E-2</v>
      </c>
      <c r="E4" s="9">
        <f>C4*(1+D4)</f>
        <v>79.166198282400927</v>
      </c>
    </row>
    <row r="5" spans="2:5" x14ac:dyDescent="0.35">
      <c r="B5" s="7" t="s">
        <v>150</v>
      </c>
      <c r="C5" s="9">
        <v>486.03632601835858</v>
      </c>
      <c r="D5" s="10">
        <f>D4</f>
        <v>2.5908853236022975E-2</v>
      </c>
      <c r="E5" s="9">
        <f t="shared" ref="E5:E10" si="0">C5*(1+D5)</f>
        <v>498.62896985654407</v>
      </c>
    </row>
    <row r="6" spans="2:5" x14ac:dyDescent="0.35">
      <c r="B6" s="7" t="s">
        <v>151</v>
      </c>
      <c r="C6" s="9">
        <v>237.75697519743383</v>
      </c>
      <c r="D6" s="10">
        <f t="shared" ref="D6:D10" si="1">D5</f>
        <v>2.5908853236022975E-2</v>
      </c>
      <c r="E6" s="9">
        <f t="shared" si="0"/>
        <v>243.91698577366489</v>
      </c>
    </row>
    <row r="7" spans="2:5" x14ac:dyDescent="0.35">
      <c r="B7" s="7" t="s">
        <v>44</v>
      </c>
      <c r="C7" s="9">
        <f>169.198747772568+0.15</f>
        <v>169.348747772568</v>
      </c>
      <c r="D7" s="10">
        <f t="shared" si="1"/>
        <v>2.5908853236022975E-2</v>
      </c>
      <c r="E7" s="9">
        <f t="shared" si="0"/>
        <v>173.73637962431175</v>
      </c>
    </row>
    <row r="8" spans="2:5" x14ac:dyDescent="0.35">
      <c r="B8" s="7" t="s">
        <v>152</v>
      </c>
      <c r="C8" s="9">
        <v>257.48779721757813</v>
      </c>
      <c r="D8" s="10">
        <f t="shared" si="1"/>
        <v>2.5908853236022975E-2</v>
      </c>
      <c r="E8" s="9">
        <f t="shared" si="0"/>
        <v>264.15901076575523</v>
      </c>
    </row>
    <row r="9" spans="2:5" x14ac:dyDescent="0.35">
      <c r="B9" s="7" t="s">
        <v>154</v>
      </c>
      <c r="C9" s="9">
        <v>73.569999999999993</v>
      </c>
      <c r="D9" s="10">
        <f t="shared" si="1"/>
        <v>2.5908853236022975E-2</v>
      </c>
      <c r="E9" s="9">
        <f t="shared" si="0"/>
        <v>75.476114332574198</v>
      </c>
    </row>
    <row r="10" spans="2:5" x14ac:dyDescent="0.35">
      <c r="B10" s="7" t="s">
        <v>161</v>
      </c>
      <c r="C10" s="9">
        <v>168.59628719407178</v>
      </c>
      <c r="D10" s="10">
        <f t="shared" si="1"/>
        <v>2.5908853236022975E-2</v>
      </c>
      <c r="E10" s="9">
        <f t="shared" si="0"/>
        <v>172.96442365512138</v>
      </c>
    </row>
    <row r="12" spans="2:5" x14ac:dyDescent="0.35">
      <c r="B12" s="3" t="s">
        <v>254</v>
      </c>
      <c r="E12" s="120" t="s">
        <v>164</v>
      </c>
    </row>
    <row r="13" spans="2:5" ht="30" x14ac:dyDescent="0.35">
      <c r="B13" s="6" t="s">
        <v>170</v>
      </c>
      <c r="C13" s="121" t="s">
        <v>255</v>
      </c>
      <c r="D13" s="96" t="s">
        <v>256</v>
      </c>
      <c r="E13" s="121" t="s">
        <v>253</v>
      </c>
    </row>
    <row r="14" spans="2:5" x14ac:dyDescent="0.35">
      <c r="B14" s="7" t="s">
        <v>155</v>
      </c>
      <c r="C14" s="113">
        <v>27.55</v>
      </c>
      <c r="D14" s="122">
        <v>500</v>
      </c>
      <c r="E14" s="113">
        <f>C14*D14/100</f>
        <v>137.75</v>
      </c>
    </row>
    <row r="15" spans="2:5" x14ac:dyDescent="0.35">
      <c r="B15" s="7" t="s">
        <v>156</v>
      </c>
      <c r="C15" s="113">
        <v>27.55</v>
      </c>
      <c r="D15" s="122">
        <v>500</v>
      </c>
      <c r="E15" s="113">
        <f t="shared" ref="E15:E20" si="2">C15*D15/100</f>
        <v>137.75</v>
      </c>
    </row>
    <row r="16" spans="2:5" x14ac:dyDescent="0.35">
      <c r="B16" s="7" t="s">
        <v>8</v>
      </c>
      <c r="C16" s="113">
        <v>18.05</v>
      </c>
      <c r="D16" s="122">
        <v>500</v>
      </c>
      <c r="E16" s="113">
        <f t="shared" si="2"/>
        <v>90.25</v>
      </c>
    </row>
    <row r="17" spans="2:18" x14ac:dyDescent="0.35">
      <c r="B17" s="7" t="s">
        <v>157</v>
      </c>
      <c r="C17" s="113">
        <v>18.05</v>
      </c>
      <c r="D17" s="122">
        <v>1000</v>
      </c>
      <c r="E17" s="113">
        <f t="shared" si="2"/>
        <v>180.5</v>
      </c>
    </row>
    <row r="18" spans="2:18" x14ac:dyDescent="0.35">
      <c r="B18" s="7" t="s">
        <v>158</v>
      </c>
      <c r="C18" s="113">
        <f>(16.24*2+16.24*1*0.9)/3</f>
        <v>15.698666666666666</v>
      </c>
      <c r="D18" s="122">
        <v>1980</v>
      </c>
      <c r="E18" s="113">
        <f t="shared" si="2"/>
        <v>310.83359999999999</v>
      </c>
    </row>
    <row r="19" spans="2:18" x14ac:dyDescent="0.35">
      <c r="B19" s="7" t="s">
        <v>159</v>
      </c>
      <c r="C19" s="113">
        <v>18.05</v>
      </c>
      <c r="D19" s="122">
        <v>1000</v>
      </c>
      <c r="E19" s="113">
        <f t="shared" si="2"/>
        <v>180.5</v>
      </c>
    </row>
    <row r="20" spans="2:18" x14ac:dyDescent="0.35">
      <c r="B20" s="7" t="s">
        <v>160</v>
      </c>
      <c r="C20" s="113">
        <v>27.55</v>
      </c>
      <c r="D20" s="122">
        <v>250</v>
      </c>
      <c r="E20" s="113">
        <f t="shared" si="2"/>
        <v>68.875</v>
      </c>
    </row>
    <row r="22" spans="2:18" x14ac:dyDescent="0.35">
      <c r="B22" s="3" t="s">
        <v>257</v>
      </c>
    </row>
    <row r="23" spans="2:18" ht="45" x14ac:dyDescent="0.35">
      <c r="B23" s="150" t="s">
        <v>170</v>
      </c>
      <c r="C23" s="6" t="s">
        <v>258</v>
      </c>
      <c r="D23" s="96" t="s">
        <v>259</v>
      </c>
      <c r="E23" s="6" t="s">
        <v>260</v>
      </c>
      <c r="F23" s="96" t="s">
        <v>261</v>
      </c>
      <c r="G23" s="96" t="s">
        <v>262</v>
      </c>
      <c r="H23" s="96" t="s">
        <v>263</v>
      </c>
      <c r="I23" s="192" t="s">
        <v>252</v>
      </c>
      <c r="J23" s="192"/>
      <c r="K23" s="192"/>
      <c r="L23" s="192"/>
      <c r="M23" s="192"/>
      <c r="N23" s="192" t="s">
        <v>243</v>
      </c>
      <c r="O23" s="192"/>
      <c r="P23" s="192"/>
      <c r="Q23" s="192"/>
      <c r="R23" s="192"/>
    </row>
    <row r="24" spans="2:18" x14ac:dyDescent="0.35">
      <c r="B24" s="151"/>
      <c r="C24" s="6" t="s">
        <v>264</v>
      </c>
      <c r="D24" s="96" t="s">
        <v>265</v>
      </c>
      <c r="E24" s="6" t="s">
        <v>266</v>
      </c>
      <c r="F24" s="96" t="s">
        <v>267</v>
      </c>
      <c r="G24" s="6" t="s">
        <v>268</v>
      </c>
      <c r="H24" s="96" t="s">
        <v>269</v>
      </c>
      <c r="I24" s="96" t="s">
        <v>32</v>
      </c>
      <c r="J24" s="96" t="s">
        <v>33</v>
      </c>
      <c r="K24" s="96" t="s">
        <v>34</v>
      </c>
      <c r="L24" s="96" t="s">
        <v>35</v>
      </c>
      <c r="M24" s="96" t="s">
        <v>127</v>
      </c>
      <c r="N24" s="96" t="s">
        <v>32</v>
      </c>
      <c r="O24" s="96" t="s">
        <v>33</v>
      </c>
      <c r="P24" s="96" t="s">
        <v>34</v>
      </c>
      <c r="Q24" s="96" t="s">
        <v>35</v>
      </c>
      <c r="R24" s="96" t="s">
        <v>127</v>
      </c>
    </row>
    <row r="25" spans="2:18" x14ac:dyDescent="0.35">
      <c r="B25" s="7" t="s">
        <v>43</v>
      </c>
      <c r="C25" s="113">
        <f>E4</f>
        <v>79.166198282400927</v>
      </c>
      <c r="D25" s="113">
        <f>'O&amp;M (Summary)'!H5</f>
        <v>103.08306873163146</v>
      </c>
      <c r="E25" s="113">
        <f t="shared" ref="E25:E31" si="3">D25-C25</f>
        <v>23.91687044923053</v>
      </c>
      <c r="F25" s="113">
        <f>IF(E25&lt;0,1/3,2/3)*E25</f>
        <v>15.944580299487018</v>
      </c>
      <c r="G25" s="113">
        <f>D25-F25</f>
        <v>87.138488432144442</v>
      </c>
      <c r="H25" s="113">
        <f>G25</f>
        <v>87.138488432144442</v>
      </c>
      <c r="I25" s="105">
        <v>2.7101743362884227E-2</v>
      </c>
      <c r="J25" s="105">
        <v>3.9374645938216254E-2</v>
      </c>
      <c r="K25" s="105">
        <f>J25</f>
        <v>3.9374645938216254E-2</v>
      </c>
      <c r="L25" s="105">
        <f>K25</f>
        <v>3.9374645938216254E-2</v>
      </c>
      <c r="M25" s="105">
        <f>L25</f>
        <v>3.9374645938216254E-2</v>
      </c>
      <c r="N25" s="97">
        <f>H25*(1+I25)</f>
        <v>89.500093382662072</v>
      </c>
      <c r="O25" s="97">
        <f>N25*(1+J25)</f>
        <v>93.024127871041685</v>
      </c>
      <c r="P25" s="97">
        <f>O25*(1+K25)</f>
        <v>96.686919969675301</v>
      </c>
      <c r="Q25" s="97">
        <f>P25*(1+L25)</f>
        <v>100.49393321033791</v>
      </c>
      <c r="R25" s="97">
        <f>Q25*(1+M25)</f>
        <v>104.45084624943372</v>
      </c>
    </row>
    <row r="26" spans="2:18" x14ac:dyDescent="0.35">
      <c r="B26" s="7" t="s">
        <v>150</v>
      </c>
      <c r="C26" s="113">
        <f t="shared" ref="C26:C31" si="4">E5</f>
        <v>498.62896985654407</v>
      </c>
      <c r="D26" s="113">
        <f>'O&amp;M (Summary)'!H6</f>
        <v>611.46273333895067</v>
      </c>
      <c r="E26" s="113">
        <f t="shared" si="3"/>
        <v>112.8337634824066</v>
      </c>
      <c r="F26" s="113">
        <f t="shared" ref="F26:F31" si="5">IF(E26&lt;0,1/3,2/3)*E26</f>
        <v>75.222508988271059</v>
      </c>
      <c r="G26" s="113">
        <f t="shared" ref="G26:G31" si="6">D26-F26</f>
        <v>536.24022435067957</v>
      </c>
      <c r="H26" s="113">
        <f t="shared" ref="H26:H31" si="7">G26</f>
        <v>536.24022435067957</v>
      </c>
      <c r="I26" s="105">
        <f t="shared" ref="I26:M31" si="8">I25</f>
        <v>2.7101743362884227E-2</v>
      </c>
      <c r="J26" s="105">
        <f t="shared" si="8"/>
        <v>3.9374645938216254E-2</v>
      </c>
      <c r="K26" s="105">
        <f t="shared" si="8"/>
        <v>3.9374645938216254E-2</v>
      </c>
      <c r="L26" s="105">
        <f t="shared" si="8"/>
        <v>3.9374645938216254E-2</v>
      </c>
      <c r="M26" s="105">
        <f t="shared" si="8"/>
        <v>3.9374645938216254E-2</v>
      </c>
      <c r="N26" s="97">
        <f t="shared" ref="N26:N31" si="9">H26*(1+I26)</f>
        <v>550.77326929188712</v>
      </c>
      <c r="O26" s="97">
        <f t="shared" ref="O26:R31" si="10">N26*(1+J26)</f>
        <v>572.45977176248903</v>
      </c>
      <c r="P26" s="97">
        <f t="shared" si="10"/>
        <v>595.00017258950913</v>
      </c>
      <c r="Q26" s="97">
        <f t="shared" si="10"/>
        <v>618.4280937183986</v>
      </c>
      <c r="R26" s="97">
        <f t="shared" si="10"/>
        <v>642.77848094680655</v>
      </c>
    </row>
    <row r="27" spans="2:18" x14ac:dyDescent="0.35">
      <c r="B27" s="7" t="s">
        <v>151</v>
      </c>
      <c r="C27" s="113">
        <f t="shared" si="4"/>
        <v>243.91698577366489</v>
      </c>
      <c r="D27" s="113">
        <f>'O&amp;M (Summary)'!H7</f>
        <v>264.51141938864771</v>
      </c>
      <c r="E27" s="113">
        <f t="shared" si="3"/>
        <v>20.594433614982819</v>
      </c>
      <c r="F27" s="113">
        <f t="shared" si="5"/>
        <v>13.729622409988545</v>
      </c>
      <c r="G27" s="113">
        <f t="shared" si="6"/>
        <v>250.78179697865917</v>
      </c>
      <c r="H27" s="113">
        <f t="shared" si="7"/>
        <v>250.78179697865917</v>
      </c>
      <c r="I27" s="105">
        <f t="shared" si="8"/>
        <v>2.7101743362884227E-2</v>
      </c>
      <c r="J27" s="105">
        <f t="shared" si="8"/>
        <v>3.9374645938216254E-2</v>
      </c>
      <c r="K27" s="105">
        <f t="shared" si="8"/>
        <v>3.9374645938216254E-2</v>
      </c>
      <c r="L27" s="105">
        <f t="shared" si="8"/>
        <v>3.9374645938216254E-2</v>
      </c>
      <c r="M27" s="105">
        <f t="shared" si="8"/>
        <v>3.9374645938216254E-2</v>
      </c>
      <c r="N27" s="97">
        <f t="shared" si="9"/>
        <v>257.57842088045771</v>
      </c>
      <c r="O27" s="97">
        <f t="shared" si="10"/>
        <v>267.72048000395057</v>
      </c>
      <c r="P27" s="97">
        <f t="shared" si="10"/>
        <v>278.26187911451541</v>
      </c>
      <c r="Q27" s="97">
        <f t="shared" si="10"/>
        <v>289.2183420827522</v>
      </c>
      <c r="R27" s="97">
        <f t="shared" si="10"/>
        <v>300.6062119010985</v>
      </c>
    </row>
    <row r="28" spans="2:18" x14ac:dyDescent="0.35">
      <c r="B28" s="7" t="s">
        <v>44</v>
      </c>
      <c r="C28" s="113">
        <f t="shared" si="4"/>
        <v>173.73637962431175</v>
      </c>
      <c r="D28" s="113">
        <f>'O&amp;M (Summary)'!H8</f>
        <v>151.34654603426898</v>
      </c>
      <c r="E28" s="113">
        <f t="shared" si="3"/>
        <v>-22.38983359004277</v>
      </c>
      <c r="F28" s="113">
        <f t="shared" si="5"/>
        <v>-7.4632778633475896</v>
      </c>
      <c r="G28" s="113">
        <f t="shared" si="6"/>
        <v>158.80982389761658</v>
      </c>
      <c r="H28" s="113">
        <f t="shared" si="7"/>
        <v>158.80982389761658</v>
      </c>
      <c r="I28" s="105">
        <f t="shared" si="8"/>
        <v>2.7101743362884227E-2</v>
      </c>
      <c r="J28" s="105">
        <f t="shared" si="8"/>
        <v>3.9374645938216254E-2</v>
      </c>
      <c r="K28" s="105">
        <f t="shared" si="8"/>
        <v>3.9374645938216254E-2</v>
      </c>
      <c r="L28" s="105">
        <f t="shared" si="8"/>
        <v>3.9374645938216254E-2</v>
      </c>
      <c r="M28" s="105">
        <f t="shared" si="8"/>
        <v>3.9374645938216254E-2</v>
      </c>
      <c r="N28" s="97">
        <f t="shared" si="9"/>
        <v>163.11384698839461</v>
      </c>
      <c r="O28" s="97">
        <f t="shared" si="10"/>
        <v>169.53639696118304</v>
      </c>
      <c r="P28" s="97">
        <f t="shared" si="10"/>
        <v>176.21183256517051</v>
      </c>
      <c r="Q28" s="97">
        <f t="shared" si="10"/>
        <v>183.15011108254834</v>
      </c>
      <c r="R28" s="97">
        <f t="shared" si="10"/>
        <v>190.36158185996865</v>
      </c>
    </row>
    <row r="29" spans="2:18" x14ac:dyDescent="0.35">
      <c r="B29" s="7" t="s">
        <v>152</v>
      </c>
      <c r="C29" s="113">
        <f t="shared" si="4"/>
        <v>264.15901076575523</v>
      </c>
      <c r="D29" s="113">
        <f>'O&amp;M (Summary)'!H9</f>
        <v>236.94757731673556</v>
      </c>
      <c r="E29" s="113">
        <f t="shared" si="3"/>
        <v>-27.211433449019665</v>
      </c>
      <c r="F29" s="113">
        <f t="shared" si="5"/>
        <v>-9.0704778163398885</v>
      </c>
      <c r="G29" s="113">
        <f t="shared" si="6"/>
        <v>246.01805513307545</v>
      </c>
      <c r="H29" s="113">
        <f t="shared" si="7"/>
        <v>246.01805513307545</v>
      </c>
      <c r="I29" s="105">
        <f t="shared" si="8"/>
        <v>2.7101743362884227E-2</v>
      </c>
      <c r="J29" s="105">
        <f t="shared" si="8"/>
        <v>3.9374645938216254E-2</v>
      </c>
      <c r="K29" s="105">
        <f t="shared" si="8"/>
        <v>3.9374645938216254E-2</v>
      </c>
      <c r="L29" s="105">
        <f t="shared" si="8"/>
        <v>3.9374645938216254E-2</v>
      </c>
      <c r="M29" s="105">
        <f t="shared" si="8"/>
        <v>3.9374645938216254E-2</v>
      </c>
      <c r="N29" s="97">
        <f t="shared" si="9"/>
        <v>252.68557332592795</v>
      </c>
      <c r="O29" s="97">
        <f t="shared" si="10"/>
        <v>262.63497830933153</v>
      </c>
      <c r="P29" s="97">
        <f t="shared" si="10"/>
        <v>272.97613759125255</v>
      </c>
      <c r="Q29" s="97">
        <f t="shared" si="10"/>
        <v>283.72447635848994</v>
      </c>
      <c r="R29" s="97">
        <f t="shared" si="10"/>
        <v>294.89602715911127</v>
      </c>
    </row>
    <row r="30" spans="2:18" x14ac:dyDescent="0.35">
      <c r="B30" s="7" t="s">
        <v>154</v>
      </c>
      <c r="C30" s="113">
        <f t="shared" si="4"/>
        <v>75.476114332574198</v>
      </c>
      <c r="D30" s="113">
        <f>'O&amp;M (Summary)'!H10</f>
        <v>95.799476957278443</v>
      </c>
      <c r="E30" s="113">
        <f t="shared" si="3"/>
        <v>20.323362624704245</v>
      </c>
      <c r="F30" s="113">
        <f t="shared" si="5"/>
        <v>13.548908416469496</v>
      </c>
      <c r="G30" s="113">
        <f t="shared" si="6"/>
        <v>82.250568540808942</v>
      </c>
      <c r="H30" s="113">
        <f t="shared" si="7"/>
        <v>82.250568540808942</v>
      </c>
      <c r="I30" s="105">
        <f t="shared" si="8"/>
        <v>2.7101743362884227E-2</v>
      </c>
      <c r="J30" s="105">
        <f t="shared" si="8"/>
        <v>3.9374645938216254E-2</v>
      </c>
      <c r="K30" s="105">
        <f t="shared" si="8"/>
        <v>3.9374645938216254E-2</v>
      </c>
      <c r="L30" s="105">
        <f t="shared" si="8"/>
        <v>3.9374645938216254E-2</v>
      </c>
      <c r="M30" s="105">
        <f t="shared" si="8"/>
        <v>3.9374645938216254E-2</v>
      </c>
      <c r="N30" s="97">
        <f t="shared" si="9"/>
        <v>84.479702340853265</v>
      </c>
      <c r="O30" s="97">
        <f t="shared" si="10"/>
        <v>87.806060709490268</v>
      </c>
      <c r="P30" s="97">
        <f t="shared" si="10"/>
        <v>91.263393261155969</v>
      </c>
      <c r="Q30" s="97">
        <f t="shared" si="10"/>
        <v>94.856857057934178</v>
      </c>
      <c r="R30" s="97">
        <f t="shared" si="10"/>
        <v>98.591812219402328</v>
      </c>
    </row>
    <row r="31" spans="2:18" x14ac:dyDescent="0.35">
      <c r="B31" s="7" t="s">
        <v>161</v>
      </c>
      <c r="C31" s="113">
        <f t="shared" si="4"/>
        <v>172.96442365512138</v>
      </c>
      <c r="D31" s="113">
        <f>'O&amp;M (Summary)'!H18</f>
        <v>243.48325299724314</v>
      </c>
      <c r="E31" s="113">
        <f t="shared" si="3"/>
        <v>70.518829342121762</v>
      </c>
      <c r="F31" s="113">
        <f t="shared" si="5"/>
        <v>47.012552894747841</v>
      </c>
      <c r="G31" s="113">
        <f t="shared" si="6"/>
        <v>196.4707001024953</v>
      </c>
      <c r="H31" s="113">
        <f t="shared" si="7"/>
        <v>196.4707001024953</v>
      </c>
      <c r="I31" s="105">
        <f t="shared" si="8"/>
        <v>2.7101743362884227E-2</v>
      </c>
      <c r="J31" s="105">
        <f t="shared" si="8"/>
        <v>3.9374645938216254E-2</v>
      </c>
      <c r="K31" s="105">
        <f t="shared" si="8"/>
        <v>3.9374645938216254E-2</v>
      </c>
      <c r="L31" s="105">
        <f t="shared" si="8"/>
        <v>3.9374645938216254E-2</v>
      </c>
      <c r="M31" s="105">
        <f t="shared" si="8"/>
        <v>3.9374645938216254E-2</v>
      </c>
      <c r="N31" s="97">
        <f t="shared" si="9"/>
        <v>201.79539859499931</v>
      </c>
      <c r="O31" s="97">
        <f t="shared" si="10"/>
        <v>209.74102096663864</v>
      </c>
      <c r="P31" s="97">
        <f t="shared" si="10"/>
        <v>217.99949940592003</v>
      </c>
      <c r="Q31" s="97">
        <f t="shared" si="10"/>
        <v>226.58315250973652</v>
      </c>
      <c r="R31" s="97">
        <f t="shared" si="10"/>
        <v>235.50478391537226</v>
      </c>
    </row>
    <row r="33" spans="2:13" x14ac:dyDescent="0.35">
      <c r="B33" s="3" t="s">
        <v>270</v>
      </c>
    </row>
    <row r="34" spans="2:13" x14ac:dyDescent="0.35">
      <c r="B34" s="150" t="s">
        <v>170</v>
      </c>
      <c r="C34" s="150" t="s">
        <v>256</v>
      </c>
      <c r="D34" s="178" t="s">
        <v>271</v>
      </c>
      <c r="E34" s="196"/>
      <c r="F34" s="196"/>
      <c r="G34" s="196"/>
      <c r="H34" s="179"/>
      <c r="I34" s="192" t="s">
        <v>243</v>
      </c>
      <c r="J34" s="192"/>
      <c r="K34" s="192"/>
      <c r="L34" s="192"/>
      <c r="M34" s="192"/>
    </row>
    <row r="35" spans="2:13" x14ac:dyDescent="0.35">
      <c r="B35" s="151"/>
      <c r="C35" s="151"/>
      <c r="D35" s="96" t="s">
        <v>32</v>
      </c>
      <c r="E35" s="96" t="s">
        <v>33</v>
      </c>
      <c r="F35" s="96" t="s">
        <v>34</v>
      </c>
      <c r="G35" s="96" t="s">
        <v>35</v>
      </c>
      <c r="H35" s="96" t="s">
        <v>127</v>
      </c>
      <c r="I35" s="96" t="s">
        <v>32</v>
      </c>
      <c r="J35" s="96" t="s">
        <v>33</v>
      </c>
      <c r="K35" s="96" t="s">
        <v>34</v>
      </c>
      <c r="L35" s="96" t="s">
        <v>35</v>
      </c>
      <c r="M35" s="96" t="s">
        <v>127</v>
      </c>
    </row>
    <row r="36" spans="2:13" x14ac:dyDescent="0.35">
      <c r="B36" s="7" t="s">
        <v>155</v>
      </c>
      <c r="C36" s="123">
        <f>D14</f>
        <v>500</v>
      </c>
      <c r="D36" s="113">
        <v>27.89</v>
      </c>
      <c r="E36" s="113">
        <v>28.89</v>
      </c>
      <c r="F36" s="113">
        <v>29.93</v>
      </c>
      <c r="G36" s="113">
        <v>31.01</v>
      </c>
      <c r="H36" s="113">
        <v>32.130000000000003</v>
      </c>
      <c r="I36" s="97">
        <f>$C36*D36/100</f>
        <v>139.44999999999999</v>
      </c>
      <c r="J36" s="97">
        <f t="shared" ref="J36:M42" si="11">$C36*E36/100</f>
        <v>144.44999999999999</v>
      </c>
      <c r="K36" s="97">
        <f t="shared" si="11"/>
        <v>149.65</v>
      </c>
      <c r="L36" s="97">
        <f t="shared" si="11"/>
        <v>155.05000000000001</v>
      </c>
      <c r="M36" s="97">
        <f t="shared" si="11"/>
        <v>160.65</v>
      </c>
    </row>
    <row r="37" spans="2:13" x14ac:dyDescent="0.35">
      <c r="B37" s="7" t="s">
        <v>156</v>
      </c>
      <c r="C37" s="123">
        <f t="shared" ref="C37:C42" si="12">D15</f>
        <v>500</v>
      </c>
      <c r="D37" s="113">
        <v>27.89</v>
      </c>
      <c r="E37" s="113">
        <v>28.89</v>
      </c>
      <c r="F37" s="113">
        <v>29.93</v>
      </c>
      <c r="G37" s="113">
        <v>31.01</v>
      </c>
      <c r="H37" s="113">
        <v>32.130000000000003</v>
      </c>
      <c r="I37" s="97">
        <f t="shared" ref="I37:I42" si="13">$C37*D37/100</f>
        <v>139.44999999999999</v>
      </c>
      <c r="J37" s="97">
        <f t="shared" si="11"/>
        <v>144.44999999999999</v>
      </c>
      <c r="K37" s="97">
        <f t="shared" si="11"/>
        <v>149.65</v>
      </c>
      <c r="L37" s="97">
        <f t="shared" si="11"/>
        <v>155.05000000000001</v>
      </c>
      <c r="M37" s="97">
        <f t="shared" si="11"/>
        <v>160.65</v>
      </c>
    </row>
    <row r="38" spans="2:13" x14ac:dyDescent="0.35">
      <c r="B38" s="7" t="s">
        <v>8</v>
      </c>
      <c r="C38" s="123">
        <f t="shared" si="12"/>
        <v>500</v>
      </c>
      <c r="D38" s="113">
        <v>18.54</v>
      </c>
      <c r="E38" s="113">
        <v>19.21</v>
      </c>
      <c r="F38" s="113">
        <v>19.899999999999999</v>
      </c>
      <c r="G38" s="113">
        <v>20.62</v>
      </c>
      <c r="H38" s="113">
        <v>21.36</v>
      </c>
      <c r="I38" s="97">
        <f t="shared" si="13"/>
        <v>92.7</v>
      </c>
      <c r="J38" s="97">
        <f t="shared" si="11"/>
        <v>96.05</v>
      </c>
      <c r="K38" s="97">
        <f t="shared" si="11"/>
        <v>99.5</v>
      </c>
      <c r="L38" s="97">
        <f t="shared" si="11"/>
        <v>103.1</v>
      </c>
      <c r="M38" s="97">
        <f t="shared" si="11"/>
        <v>106.8</v>
      </c>
    </row>
    <row r="39" spans="2:13" x14ac:dyDescent="0.35">
      <c r="B39" s="7" t="s">
        <v>157</v>
      </c>
      <c r="C39" s="123">
        <f t="shared" si="12"/>
        <v>1000</v>
      </c>
      <c r="D39" s="113">
        <v>18.54</v>
      </c>
      <c r="E39" s="113">
        <v>19.21</v>
      </c>
      <c r="F39" s="113">
        <v>19.899999999999999</v>
      </c>
      <c r="G39" s="113">
        <v>20.62</v>
      </c>
      <c r="H39" s="113">
        <v>21.36</v>
      </c>
      <c r="I39" s="97">
        <f t="shared" si="13"/>
        <v>185.4</v>
      </c>
      <c r="J39" s="97">
        <f t="shared" si="11"/>
        <v>192.1</v>
      </c>
      <c r="K39" s="97">
        <f t="shared" si="11"/>
        <v>199</v>
      </c>
      <c r="L39" s="97">
        <f t="shared" si="11"/>
        <v>206.2</v>
      </c>
      <c r="M39" s="97">
        <f t="shared" si="11"/>
        <v>213.6</v>
      </c>
    </row>
    <row r="40" spans="2:13" x14ac:dyDescent="0.35">
      <c r="B40" s="7" t="s">
        <v>158</v>
      </c>
      <c r="C40" s="123">
        <f t="shared" si="12"/>
        <v>1980</v>
      </c>
      <c r="D40" s="113">
        <v>14.99</v>
      </c>
      <c r="E40" s="113">
        <v>15.53</v>
      </c>
      <c r="F40" s="113">
        <v>16.09</v>
      </c>
      <c r="G40" s="113">
        <v>16.670000000000002</v>
      </c>
      <c r="H40" s="113">
        <v>17.27</v>
      </c>
      <c r="I40" s="97">
        <f t="shared" si="13"/>
        <v>296.80200000000002</v>
      </c>
      <c r="J40" s="97">
        <f t="shared" si="11"/>
        <v>307.49399999999997</v>
      </c>
      <c r="K40" s="97">
        <f t="shared" si="11"/>
        <v>318.58199999999999</v>
      </c>
      <c r="L40" s="97">
        <f t="shared" si="11"/>
        <v>330.06600000000003</v>
      </c>
      <c r="M40" s="97">
        <f t="shared" si="11"/>
        <v>341.94599999999997</v>
      </c>
    </row>
    <row r="41" spans="2:13" x14ac:dyDescent="0.35">
      <c r="B41" s="7" t="s">
        <v>159</v>
      </c>
      <c r="C41" s="123">
        <f t="shared" si="12"/>
        <v>1000</v>
      </c>
      <c r="D41" s="113">
        <v>18.54</v>
      </c>
      <c r="E41" s="113">
        <v>19.21</v>
      </c>
      <c r="F41" s="113">
        <v>19.899999999999999</v>
      </c>
      <c r="G41" s="113">
        <v>20.62</v>
      </c>
      <c r="H41" s="113">
        <v>21.36</v>
      </c>
      <c r="I41" s="97">
        <f t="shared" si="13"/>
        <v>185.4</v>
      </c>
      <c r="J41" s="97">
        <f t="shared" si="11"/>
        <v>192.1</v>
      </c>
      <c r="K41" s="97">
        <f t="shared" si="11"/>
        <v>199</v>
      </c>
      <c r="L41" s="97">
        <f t="shared" si="11"/>
        <v>206.2</v>
      </c>
      <c r="M41" s="97">
        <f t="shared" si="11"/>
        <v>213.6</v>
      </c>
    </row>
    <row r="42" spans="2:13" x14ac:dyDescent="0.35">
      <c r="B42" s="7" t="s">
        <v>160</v>
      </c>
      <c r="C42" s="123">
        <f t="shared" si="12"/>
        <v>250</v>
      </c>
      <c r="D42" s="113">
        <v>27.89</v>
      </c>
      <c r="E42" s="113">
        <v>28.89</v>
      </c>
      <c r="F42" s="113">
        <v>29.93</v>
      </c>
      <c r="G42" s="113">
        <v>31.01</v>
      </c>
      <c r="H42" s="113">
        <v>32.130000000000003</v>
      </c>
      <c r="I42" s="97">
        <f t="shared" si="13"/>
        <v>69.724999999999994</v>
      </c>
      <c r="J42" s="97">
        <f t="shared" si="11"/>
        <v>72.224999999999994</v>
      </c>
      <c r="K42" s="97">
        <f t="shared" si="11"/>
        <v>74.825000000000003</v>
      </c>
      <c r="L42" s="97">
        <f t="shared" si="11"/>
        <v>77.525000000000006</v>
      </c>
      <c r="M42" s="97">
        <f t="shared" si="11"/>
        <v>80.325000000000003</v>
      </c>
    </row>
  </sheetData>
  <mergeCells count="7">
    <mergeCell ref="B23:B24"/>
    <mergeCell ref="I23:M23"/>
    <mergeCell ref="N23:R23"/>
    <mergeCell ref="B34:B35"/>
    <mergeCell ref="C34:C35"/>
    <mergeCell ref="D34:H34"/>
    <mergeCell ref="I34:M34"/>
  </mergeCell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G108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8.453125" style="5" customWidth="1"/>
    <col min="3" max="35" width="10.453125" style="5" customWidth="1"/>
    <col min="36" max="36" width="18.26953125" style="5" customWidth="1"/>
    <col min="37" max="37" width="10.54296875" style="5" bestFit="1" customWidth="1"/>
    <col min="38" max="38" width="10.26953125" style="5" bestFit="1" customWidth="1"/>
    <col min="39" max="39" width="14" style="5" customWidth="1"/>
    <col min="40" max="40" width="13.26953125" style="5" customWidth="1"/>
    <col min="41" max="41" width="10.453125" style="5" customWidth="1"/>
    <col min="42" max="42" width="14" style="5" customWidth="1"/>
    <col min="43" max="43" width="13.26953125" style="5" customWidth="1"/>
    <col min="44" max="44" width="10.453125" style="5" customWidth="1"/>
    <col min="45" max="45" width="9.1796875" style="5"/>
    <col min="46" max="46" width="12.54296875" style="5" customWidth="1"/>
    <col min="47" max="47" width="12.7265625" style="5" customWidth="1"/>
    <col min="48" max="48" width="9.54296875" style="5" bestFit="1" customWidth="1"/>
    <col min="49" max="49" width="9.1796875" style="5"/>
    <col min="50" max="50" width="11.26953125" style="5" bestFit="1" customWidth="1"/>
    <col min="51" max="51" width="9.54296875" style="5" bestFit="1" customWidth="1"/>
    <col min="52" max="52" width="9.7265625" style="5" bestFit="1" customWidth="1"/>
    <col min="53" max="53" width="9.26953125" style="5" bestFit="1" customWidth="1"/>
    <col min="54" max="54" width="9.54296875" style="5" bestFit="1" customWidth="1"/>
    <col min="55" max="55" width="9.1796875" style="5"/>
    <col min="56" max="56" width="28.453125" style="5" customWidth="1"/>
    <col min="57" max="58" width="9.54296875" style="5" bestFit="1" customWidth="1"/>
    <col min="59" max="16384" width="9.1796875" style="5"/>
  </cols>
  <sheetData>
    <row r="2" spans="2:50" x14ac:dyDescent="0.35">
      <c r="B2" s="3" t="s">
        <v>272</v>
      </c>
    </row>
    <row r="3" spans="2:50" x14ac:dyDescent="0.35">
      <c r="B3" s="187" t="s">
        <v>170</v>
      </c>
      <c r="C3" s="187" t="s">
        <v>273</v>
      </c>
      <c r="D3" s="187"/>
      <c r="E3" s="187"/>
      <c r="F3" s="187" t="s">
        <v>274</v>
      </c>
      <c r="G3" s="187"/>
      <c r="H3" s="187"/>
      <c r="I3" s="187" t="s">
        <v>275</v>
      </c>
      <c r="J3" s="187"/>
      <c r="K3" s="187"/>
      <c r="L3" s="187" t="s">
        <v>276</v>
      </c>
      <c r="M3" s="187"/>
      <c r="N3" s="187"/>
      <c r="O3" s="187" t="s">
        <v>277</v>
      </c>
      <c r="P3" s="187"/>
      <c r="Q3" s="187"/>
      <c r="R3" s="187" t="s">
        <v>278</v>
      </c>
      <c r="S3" s="187"/>
      <c r="T3" s="187"/>
      <c r="U3" s="187" t="s">
        <v>279</v>
      </c>
      <c r="V3" s="187"/>
      <c r="W3" s="187"/>
      <c r="X3" s="187" t="s">
        <v>280</v>
      </c>
      <c r="Y3" s="187"/>
      <c r="Z3" s="187"/>
      <c r="AA3" s="187" t="s">
        <v>281</v>
      </c>
      <c r="AB3" s="187"/>
      <c r="AC3" s="187"/>
      <c r="AD3" s="187" t="s">
        <v>282</v>
      </c>
      <c r="AE3" s="187"/>
      <c r="AF3" s="187"/>
      <c r="AG3" s="187" t="s">
        <v>283</v>
      </c>
      <c r="AH3" s="187"/>
      <c r="AI3" s="187"/>
      <c r="AJ3" s="187" t="s">
        <v>284</v>
      </c>
      <c r="AK3" s="187"/>
      <c r="AL3" s="187"/>
      <c r="AM3" s="187" t="s">
        <v>285</v>
      </c>
      <c r="AN3" s="187"/>
      <c r="AO3" s="187"/>
      <c r="AP3" s="187" t="s">
        <v>286</v>
      </c>
      <c r="AQ3" s="187"/>
      <c r="AR3" s="187"/>
    </row>
    <row r="4" spans="2:50" ht="30" x14ac:dyDescent="0.35">
      <c r="B4" s="187"/>
      <c r="C4" s="96" t="s">
        <v>171</v>
      </c>
      <c r="D4" s="6" t="s">
        <v>237</v>
      </c>
      <c r="E4" s="6" t="s">
        <v>132</v>
      </c>
      <c r="F4" s="96" t="s">
        <v>171</v>
      </c>
      <c r="G4" s="6" t="s">
        <v>237</v>
      </c>
      <c r="H4" s="6" t="s">
        <v>132</v>
      </c>
      <c r="I4" s="96" t="s">
        <v>171</v>
      </c>
      <c r="J4" s="6" t="s">
        <v>237</v>
      </c>
      <c r="K4" s="6" t="s">
        <v>132</v>
      </c>
      <c r="L4" s="96" t="s">
        <v>171</v>
      </c>
      <c r="M4" s="6" t="s">
        <v>237</v>
      </c>
      <c r="N4" s="6" t="s">
        <v>132</v>
      </c>
      <c r="O4" s="96" t="s">
        <v>171</v>
      </c>
      <c r="P4" s="6" t="s">
        <v>237</v>
      </c>
      <c r="Q4" s="6" t="s">
        <v>132</v>
      </c>
      <c r="R4" s="96" t="s">
        <v>171</v>
      </c>
      <c r="S4" s="6" t="s">
        <v>237</v>
      </c>
      <c r="T4" s="6" t="s">
        <v>132</v>
      </c>
      <c r="U4" s="96" t="s">
        <v>171</v>
      </c>
      <c r="V4" s="6" t="s">
        <v>237</v>
      </c>
      <c r="W4" s="6" t="s">
        <v>132</v>
      </c>
      <c r="X4" s="96" t="s">
        <v>171</v>
      </c>
      <c r="Y4" s="6" t="s">
        <v>237</v>
      </c>
      <c r="Z4" s="6" t="s">
        <v>132</v>
      </c>
      <c r="AA4" s="96" t="s">
        <v>171</v>
      </c>
      <c r="AB4" s="6" t="s">
        <v>237</v>
      </c>
      <c r="AC4" s="6" t="s">
        <v>132</v>
      </c>
      <c r="AD4" s="96" t="s">
        <v>171</v>
      </c>
      <c r="AE4" s="6" t="s">
        <v>237</v>
      </c>
      <c r="AF4" s="6" t="s">
        <v>132</v>
      </c>
      <c r="AG4" s="96" t="s">
        <v>171</v>
      </c>
      <c r="AH4" s="6" t="s">
        <v>237</v>
      </c>
      <c r="AI4" s="6" t="s">
        <v>132</v>
      </c>
      <c r="AJ4" s="96" t="s">
        <v>171</v>
      </c>
      <c r="AK4" s="6" t="s">
        <v>237</v>
      </c>
      <c r="AL4" s="6" t="s">
        <v>132</v>
      </c>
      <c r="AM4" s="96" t="s">
        <v>171</v>
      </c>
      <c r="AN4" s="6" t="s">
        <v>237</v>
      </c>
      <c r="AO4" s="6" t="s">
        <v>132</v>
      </c>
      <c r="AP4" s="96" t="s">
        <v>171</v>
      </c>
      <c r="AQ4" s="6" t="s">
        <v>237</v>
      </c>
      <c r="AR4" s="6" t="s">
        <v>132</v>
      </c>
      <c r="AT4" s="12" t="s">
        <v>287</v>
      </c>
      <c r="AU4" s="12" t="s">
        <v>288</v>
      </c>
      <c r="AV4" s="7"/>
    </row>
    <row r="5" spans="2:50" x14ac:dyDescent="0.35">
      <c r="B5" s="7" t="s">
        <v>43</v>
      </c>
      <c r="C5" s="105">
        <v>0.8</v>
      </c>
      <c r="D5" s="105">
        <v>0.96540000000000004</v>
      </c>
      <c r="E5" s="105">
        <f>C5</f>
        <v>0.8</v>
      </c>
      <c r="F5" s="105">
        <v>0.42273556767507731</v>
      </c>
      <c r="G5" s="105">
        <v>2.46E-2</v>
      </c>
      <c r="H5" s="105"/>
      <c r="I5" s="97">
        <v>790.33600000000001</v>
      </c>
      <c r="J5" s="97">
        <v>52.48</v>
      </c>
      <c r="K5" s="97">
        <f>J5</f>
        <v>52.48</v>
      </c>
      <c r="L5" s="105">
        <v>0.1096</v>
      </c>
      <c r="M5" s="105">
        <v>0.43910312499999998</v>
      </c>
      <c r="N5" s="105">
        <f>L5</f>
        <v>0.1096</v>
      </c>
      <c r="O5" s="97">
        <f>I5*(1-L5)</f>
        <v>703.71517440000002</v>
      </c>
      <c r="P5" s="97">
        <f>J5*(1-M5)</f>
        <v>29.435868000000003</v>
      </c>
      <c r="Q5" s="97">
        <f>K5*(1-N5)</f>
        <v>46.728191999999993</v>
      </c>
      <c r="R5" s="97">
        <v>2787</v>
      </c>
      <c r="S5" s="97">
        <v>2757.2478748285057</v>
      </c>
      <c r="T5" s="97">
        <f>R5</f>
        <v>2787</v>
      </c>
      <c r="U5" s="97">
        <v>2</v>
      </c>
      <c r="V5" s="97">
        <v>8.7461890243902438</v>
      </c>
      <c r="W5" s="97">
        <f>U5</f>
        <v>2</v>
      </c>
      <c r="X5" s="97">
        <v>8786.4035409845383</v>
      </c>
      <c r="Y5" s="97">
        <f>'Price &amp; GCV of fuels'!H5</f>
        <v>9320.799326797387</v>
      </c>
      <c r="Z5" s="97">
        <f>Y5</f>
        <v>9320.799326797387</v>
      </c>
      <c r="AA5" s="97">
        <v>3066.8144126540215</v>
      </c>
      <c r="AB5" s="97">
        <f>'Price &amp; GCV of fuels'!R5</f>
        <v>3143.6849999999999</v>
      </c>
      <c r="AC5" s="97">
        <f>'Price &amp; GCV of fuels'!T5</f>
        <v>3202</v>
      </c>
      <c r="AD5" s="97">
        <v>36846.682852790887</v>
      </c>
      <c r="AE5" s="97">
        <f>'Price &amp; GCV of fuels'!K5</f>
        <v>38490.150326797382</v>
      </c>
      <c r="AF5" s="97">
        <f>AE5</f>
        <v>38490.150326797382</v>
      </c>
      <c r="AG5" s="97">
        <v>3905.8937419874114</v>
      </c>
      <c r="AH5" s="97">
        <f>'Price &amp; GCV of fuels'!W5</f>
        <v>3510.4224195109018</v>
      </c>
      <c r="AI5" s="97">
        <f>'Price &amp; GCV of fuels'!Z5</f>
        <v>3510.9469680645152</v>
      </c>
      <c r="AJ5" s="97">
        <f>(R5-U5*X5/1000)/AA5</f>
        <v>0.90303057840443901</v>
      </c>
      <c r="AK5" s="97">
        <f>(S5-V5*Y5/1000)/AB5</f>
        <v>0.85114329268292666</v>
      </c>
      <c r="AL5" s="97">
        <f>(T5-W5*Z5/1000)/AC5</f>
        <v>0.86457164314378676</v>
      </c>
      <c r="AM5" s="124">
        <f>(AJ5*AG5/1000+U5*AD5/10^6)/(1-L5)</f>
        <v>4.0440642977524179</v>
      </c>
      <c r="AN5" s="124">
        <f>(AK5*AH5/1000+V5*AE5/10^6)/(1-M5)</f>
        <v>5.9271405767519045</v>
      </c>
      <c r="AO5" s="124">
        <f>(AL5*AI5/1000+W5*AF5/10^6)/(1-N5)</f>
        <v>3.4955587262172387</v>
      </c>
      <c r="AP5" s="97">
        <f>O5*AM5/10</f>
        <v>284.58694125776566</v>
      </c>
      <c r="AQ5" s="97">
        <f>P5*AN5/10</f>
        <v>17.447052763471294</v>
      </c>
      <c r="AR5" s="97">
        <f>Q5*AO5/10</f>
        <v>16.334113930595453</v>
      </c>
      <c r="AT5" s="9">
        <f>AL5*K5*AI5/10000</f>
        <v>15.93012131276539</v>
      </c>
      <c r="AU5" s="9">
        <f>W5*K5*AF5/10^7</f>
        <v>0.40399261783006529</v>
      </c>
      <c r="AV5" s="13">
        <f>SUM(AT5:AU5)</f>
        <v>16.334113930595457</v>
      </c>
      <c r="AX5" s="91">
        <v>16.334113930595453</v>
      </c>
    </row>
    <row r="6" spans="2:50" x14ac:dyDescent="0.35">
      <c r="B6" s="7" t="s">
        <v>150</v>
      </c>
      <c r="C6" s="105">
        <v>0.8</v>
      </c>
      <c r="D6" s="105">
        <v>0.61760000000000004</v>
      </c>
      <c r="E6" s="105">
        <f t="shared" ref="E6:E17" si="0">C6</f>
        <v>0.8</v>
      </c>
      <c r="F6" s="105">
        <v>0.68465000000000009</v>
      </c>
      <c r="G6" s="105">
        <v>0.54910000000000003</v>
      </c>
      <c r="H6" s="105"/>
      <c r="I6" s="97">
        <v>11591.366</v>
      </c>
      <c r="J6" s="97">
        <v>9319.84</v>
      </c>
      <c r="K6" s="97">
        <f t="shared" ref="K6:K17" si="1">J6</f>
        <v>9319.84</v>
      </c>
      <c r="L6" s="105">
        <v>8.6699999999999999E-2</v>
      </c>
      <c r="M6" s="105">
        <v>9.2502897045442845E-2</v>
      </c>
      <c r="N6" s="105">
        <f t="shared" ref="N6:N17" si="2">L6</f>
        <v>8.6699999999999999E-2</v>
      </c>
      <c r="O6" s="97">
        <f t="shared" ref="O6:Q17" si="3">I6*(1-L6)</f>
        <v>10586.3945678</v>
      </c>
      <c r="P6" s="97">
        <f t="shared" si="3"/>
        <v>8457.7277999999988</v>
      </c>
      <c r="Q6" s="97">
        <f t="shared" si="3"/>
        <v>8511.8098719999998</v>
      </c>
      <c r="R6" s="97">
        <v>2688</v>
      </c>
      <c r="S6" s="97">
        <v>2659.2354964855622</v>
      </c>
      <c r="T6" s="97">
        <f t="shared" ref="T6:T17" si="4">R6</f>
        <v>2688</v>
      </c>
      <c r="U6" s="97">
        <v>2</v>
      </c>
      <c r="V6" s="97">
        <v>2.0321164311833679</v>
      </c>
      <c r="W6" s="97">
        <f t="shared" ref="W6:W17" si="5">U6</f>
        <v>2</v>
      </c>
      <c r="X6" s="97">
        <v>9439.8274082454827</v>
      </c>
      <c r="Y6" s="97">
        <f>'Price &amp; GCV of fuels'!H6</f>
        <v>9418.3422581926516</v>
      </c>
      <c r="Z6" s="97">
        <f t="shared" ref="Z6:Z17" si="6">Y6</f>
        <v>9418.3422581926516</v>
      </c>
      <c r="AA6" s="97">
        <v>3166.1173375335593</v>
      </c>
      <c r="AB6" s="97">
        <f>'Price &amp; GCV of fuels'!R6</f>
        <v>3111</v>
      </c>
      <c r="AC6" s="97">
        <f>'Price &amp; GCV of fuels'!T6</f>
        <v>3111</v>
      </c>
      <c r="AD6" s="97">
        <v>41332.272095450535</v>
      </c>
      <c r="AE6" s="97">
        <f>'Price &amp; GCV of fuels'!K6</f>
        <v>41646.696017874878</v>
      </c>
      <c r="AF6" s="97">
        <f t="shared" ref="AF6:AF17" si="7">AE6</f>
        <v>41646.696017874878</v>
      </c>
      <c r="AG6" s="97">
        <v>3220.2440976428625</v>
      </c>
      <c r="AH6" s="97">
        <f>'Price &amp; GCV of fuels'!W6</f>
        <v>2984.9781231593925</v>
      </c>
      <c r="AI6" s="97">
        <f>'Price &amp; GCV of fuels'!Z6</f>
        <v>2997.9759891740723</v>
      </c>
      <c r="AJ6" s="97">
        <f t="shared" ref="AJ6:AL17" si="8">(R6-U6*X6/1000)/AA6</f>
        <v>0.84302635077409471</v>
      </c>
      <c r="AK6" s="97">
        <f t="shared" si="8"/>
        <v>0.84863269959118615</v>
      </c>
      <c r="AL6" s="97">
        <f t="shared" si="8"/>
        <v>0.85797599340521202</v>
      </c>
      <c r="AM6" s="124">
        <f t="shared" ref="AM6:AO17" si="9">(AJ6*AG6/1000+U6*AD6/10^6)/(1-L6)</f>
        <v>3.062975117079362</v>
      </c>
      <c r="AN6" s="124">
        <f t="shared" si="9"/>
        <v>2.8846163471343833</v>
      </c>
      <c r="AO6" s="124">
        <f t="shared" si="9"/>
        <v>2.9075712466356594</v>
      </c>
      <c r="AP6" s="97">
        <f t="shared" ref="AP6:AR17" si="10">O6*AM6/10</f>
        <v>3242.5863140755528</v>
      </c>
      <c r="AQ6" s="97">
        <f t="shared" si="10"/>
        <v>2439.7299871492919</v>
      </c>
      <c r="AR6" s="97">
        <f t="shared" si="10"/>
        <v>2474.8693640656752</v>
      </c>
      <c r="AT6" s="9">
        <f t="shared" ref="AT6:AT17" si="11">AL6*K6*AI6/10000</f>
        <v>2397.2412553826289</v>
      </c>
      <c r="AU6" s="9">
        <f t="shared" ref="AU6:AU17" si="12">W6*K6*AF6/10^7</f>
        <v>77.628108683046193</v>
      </c>
      <c r="AV6" s="13">
        <f t="shared" ref="AV6:AV17" si="13">SUM(AT6:AU6)</f>
        <v>2474.8693640656752</v>
      </c>
      <c r="AX6" s="91">
        <v>2474.554443923108</v>
      </c>
    </row>
    <row r="7" spans="2:50" x14ac:dyDescent="0.35">
      <c r="B7" s="7" t="s">
        <v>151</v>
      </c>
      <c r="C7" s="105">
        <v>0.85</v>
      </c>
      <c r="D7" s="105">
        <v>0.73380000000000001</v>
      </c>
      <c r="E7" s="105">
        <f t="shared" si="0"/>
        <v>0.85</v>
      </c>
      <c r="F7" s="105">
        <v>0.69895796502190488</v>
      </c>
      <c r="G7" s="105">
        <v>0.53049999999999997</v>
      </c>
      <c r="H7" s="105"/>
      <c r="I7" s="97">
        <v>5194.4210000000003</v>
      </c>
      <c r="J7" s="97">
        <v>3956.9349999999999</v>
      </c>
      <c r="K7" s="97">
        <f t="shared" si="1"/>
        <v>3956.9349999999999</v>
      </c>
      <c r="L7" s="105">
        <v>9.7000000000000003E-2</v>
      </c>
      <c r="M7" s="105">
        <v>0.10676040925615407</v>
      </c>
      <c r="N7" s="105">
        <f t="shared" si="2"/>
        <v>9.7000000000000003E-2</v>
      </c>
      <c r="O7" s="97">
        <f t="shared" si="3"/>
        <v>4690.5621630000005</v>
      </c>
      <c r="P7" s="97">
        <f t="shared" si="3"/>
        <v>3534.491</v>
      </c>
      <c r="Q7" s="97">
        <f t="shared" si="3"/>
        <v>3573.1123050000001</v>
      </c>
      <c r="R7" s="97">
        <v>2630</v>
      </c>
      <c r="S7" s="97">
        <v>2624.148961109071</v>
      </c>
      <c r="T7" s="97">
        <f t="shared" si="4"/>
        <v>2630</v>
      </c>
      <c r="U7" s="97">
        <v>2</v>
      </c>
      <c r="V7" s="97">
        <v>1.7814293133447985</v>
      </c>
      <c r="W7" s="97">
        <f t="shared" si="5"/>
        <v>2</v>
      </c>
      <c r="X7" s="97">
        <v>9545.4303853946658</v>
      </c>
      <c r="Y7" s="97">
        <f>'Price &amp; GCV of fuels'!H7</f>
        <v>9516.4260627209533</v>
      </c>
      <c r="Z7" s="97">
        <f t="shared" si="6"/>
        <v>9516.4260627209533</v>
      </c>
      <c r="AA7" s="97">
        <v>2912.367911894738</v>
      </c>
      <c r="AB7" s="97">
        <f>'Price &amp; GCV of fuels'!R7</f>
        <v>2965.69</v>
      </c>
      <c r="AC7" s="97">
        <f>'Price &amp; GCV of fuels'!T7</f>
        <v>2965.69</v>
      </c>
      <c r="AD7" s="97">
        <v>42274.983177512404</v>
      </c>
      <c r="AE7" s="97">
        <f>'Price &amp; GCV of fuels'!K7</f>
        <v>42833.24868917578</v>
      </c>
      <c r="AF7" s="97">
        <f t="shared" si="7"/>
        <v>42833.24868917578</v>
      </c>
      <c r="AG7" s="97">
        <v>2794.9323605813811</v>
      </c>
      <c r="AH7" s="97">
        <f>'Price &amp; GCV of fuels'!W7</f>
        <v>2989.5635763379732</v>
      </c>
      <c r="AI7" s="97">
        <f>'Price &amp; GCV of fuels'!Z7</f>
        <v>2986.9838211570445</v>
      </c>
      <c r="AJ7" s="97">
        <f t="shared" si="8"/>
        <v>0.89649014761002388</v>
      </c>
      <c r="AK7" s="97">
        <f t="shared" si="8"/>
        <v>0.87911957108216343</v>
      </c>
      <c r="AL7" s="97">
        <f t="shared" si="8"/>
        <v>0.88039112242835837</v>
      </c>
      <c r="AM7" s="124">
        <f t="shared" si="9"/>
        <v>2.8684156044879954</v>
      </c>
      <c r="AN7" s="124">
        <f t="shared" si="9"/>
        <v>3.027729941416522</v>
      </c>
      <c r="AO7" s="124">
        <f t="shared" si="9"/>
        <v>3.0070659317410287</v>
      </c>
      <c r="AP7" s="97">
        <f t="shared" si="10"/>
        <v>1345.4481702170165</v>
      </c>
      <c r="AQ7" s="97">
        <f t="shared" si="10"/>
        <v>1070.1484228367224</v>
      </c>
      <c r="AR7" s="97">
        <f t="shared" si="10"/>
        <v>1074.458428265016</v>
      </c>
      <c r="AT7" s="9">
        <f t="shared" si="11"/>
        <v>1040.5607520846352</v>
      </c>
      <c r="AU7" s="9">
        <f t="shared" si="12"/>
        <v>33.897676180380749</v>
      </c>
      <c r="AV7" s="13">
        <f t="shared" si="13"/>
        <v>1074.458428265016</v>
      </c>
      <c r="AX7" s="91">
        <v>1074.5074508051571</v>
      </c>
    </row>
    <row r="8" spans="2:50" x14ac:dyDescent="0.35">
      <c r="B8" s="7" t="s">
        <v>44</v>
      </c>
      <c r="C8" s="105">
        <v>0.72</v>
      </c>
      <c r="D8" s="105">
        <v>0.67320000000000002</v>
      </c>
      <c r="E8" s="105">
        <f t="shared" si="0"/>
        <v>0.72</v>
      </c>
      <c r="F8" s="105">
        <v>0.49335795712031749</v>
      </c>
      <c r="G8" s="105">
        <v>0.13339999999999999</v>
      </c>
      <c r="H8" s="105"/>
      <c r="I8" s="97">
        <v>1841.7698</v>
      </c>
      <c r="J8" s="97">
        <v>513.62900000000002</v>
      </c>
      <c r="K8" s="97">
        <f t="shared" si="1"/>
        <v>513.62900000000002</v>
      </c>
      <c r="L8" s="105">
        <v>9.9049999999999985E-2</v>
      </c>
      <c r="M8" s="105">
        <v>0.1565332175558623</v>
      </c>
      <c r="N8" s="105">
        <f t="shared" si="2"/>
        <v>9.9049999999999985E-2</v>
      </c>
      <c r="O8" s="97">
        <f t="shared" si="3"/>
        <v>1659.34250131</v>
      </c>
      <c r="P8" s="97">
        <f t="shared" si="3"/>
        <v>433.22900000000004</v>
      </c>
      <c r="Q8" s="97">
        <f t="shared" si="3"/>
        <v>462.75404755000005</v>
      </c>
      <c r="R8" s="97">
        <v>2621.5</v>
      </c>
      <c r="S8" s="97">
        <v>2653.1946032680785</v>
      </c>
      <c r="T8" s="97">
        <f t="shared" si="4"/>
        <v>2621.5</v>
      </c>
      <c r="U8" s="97">
        <v>2.81</v>
      </c>
      <c r="V8" s="97">
        <v>11.85308851330435</v>
      </c>
      <c r="W8" s="97">
        <f t="shared" si="5"/>
        <v>2.81</v>
      </c>
      <c r="X8" s="97">
        <v>9368.7082549035804</v>
      </c>
      <c r="Y8" s="97">
        <f>'Price &amp; GCV of fuels'!H8</f>
        <v>9618.8144731730335</v>
      </c>
      <c r="Z8" s="97">
        <f t="shared" si="6"/>
        <v>9618.8144731730335</v>
      </c>
      <c r="AA8" s="97">
        <v>2877.1374146242779</v>
      </c>
      <c r="AB8" s="97">
        <f>'Price &amp; GCV of fuels'!R8</f>
        <v>2833.598</v>
      </c>
      <c r="AC8" s="97">
        <f>'Price &amp; GCV of fuels'!T8</f>
        <v>2833.598</v>
      </c>
      <c r="AD8" s="97">
        <v>42708.102461243667</v>
      </c>
      <c r="AE8" s="97">
        <f>'Price &amp; GCV of fuels'!K8</f>
        <v>41229.21070440812</v>
      </c>
      <c r="AF8" s="97">
        <f t="shared" si="7"/>
        <v>41229.21070440812</v>
      </c>
      <c r="AG8" s="97">
        <v>3391.2182689390352</v>
      </c>
      <c r="AH8" s="97">
        <f>'Price &amp; GCV of fuels'!W8</f>
        <v>3722.1119299180777</v>
      </c>
      <c r="AI8" s="97">
        <f>'Price &amp; GCV of fuels'!Z8</f>
        <v>3727.491062332449</v>
      </c>
      <c r="AJ8" s="97">
        <f t="shared" si="8"/>
        <v>0.90199860340790217</v>
      </c>
      <c r="AK8" s="97">
        <f t="shared" si="8"/>
        <v>0.89609815645144641</v>
      </c>
      <c r="AL8" s="97">
        <f t="shared" si="8"/>
        <v>0.9156101646494611</v>
      </c>
      <c r="AM8" s="124">
        <f t="shared" si="9"/>
        <v>3.5283688443870007</v>
      </c>
      <c r="AN8" s="124">
        <f t="shared" si="9"/>
        <v>4.5337542650315514</v>
      </c>
      <c r="AO8" s="124">
        <f t="shared" si="9"/>
        <v>3.9167354319229646</v>
      </c>
      <c r="AP8" s="97">
        <f t="shared" si="10"/>
        <v>585.47723837894</v>
      </c>
      <c r="AQ8" s="97">
        <f t="shared" si="10"/>
        <v>196.4153826485354</v>
      </c>
      <c r="AR8" s="97">
        <f t="shared" si="10"/>
        <v>181.24851743048495</v>
      </c>
      <c r="AT8" s="9">
        <f t="shared" si="11"/>
        <v>175.29791579804962</v>
      </c>
      <c r="AU8" s="9">
        <f t="shared" si="12"/>
        <v>5.9506016324353386</v>
      </c>
      <c r="AV8" s="13">
        <f t="shared" si="13"/>
        <v>181.24851743048495</v>
      </c>
      <c r="AX8" s="91">
        <v>181.24851743048492</v>
      </c>
    </row>
    <row r="9" spans="2:50" x14ac:dyDescent="0.35">
      <c r="B9" s="7" t="s">
        <v>152</v>
      </c>
      <c r="C9" s="105">
        <v>0.8</v>
      </c>
      <c r="D9" s="105">
        <v>0.81140000000000001</v>
      </c>
      <c r="E9" s="105">
        <f t="shared" si="0"/>
        <v>0.8</v>
      </c>
      <c r="F9" s="105">
        <v>0.68826932193543555</v>
      </c>
      <c r="G9" s="105">
        <v>0.42349999999999999</v>
      </c>
      <c r="H9" s="105"/>
      <c r="I9" s="97">
        <v>3814.6130000000003</v>
      </c>
      <c r="J9" s="97">
        <v>2359.6979999999999</v>
      </c>
      <c r="K9" s="97">
        <f t="shared" si="1"/>
        <v>2359.6979999999999</v>
      </c>
      <c r="L9" s="105">
        <v>0.11</v>
      </c>
      <c r="M9" s="105">
        <v>0.11611346028178184</v>
      </c>
      <c r="N9" s="105">
        <f t="shared" si="2"/>
        <v>0.11</v>
      </c>
      <c r="O9" s="97">
        <f t="shared" si="3"/>
        <v>3395.0055700000003</v>
      </c>
      <c r="P9" s="97">
        <f t="shared" si="3"/>
        <v>2085.7053000000001</v>
      </c>
      <c r="Q9" s="97">
        <f t="shared" si="3"/>
        <v>2100.1312199999998</v>
      </c>
      <c r="R9" s="97">
        <v>2754</v>
      </c>
      <c r="S9" s="97">
        <v>2723.4540865057693</v>
      </c>
      <c r="T9" s="97">
        <f t="shared" si="4"/>
        <v>2754</v>
      </c>
      <c r="U9" s="97">
        <v>1.5</v>
      </c>
      <c r="V9" s="97">
        <v>4.1479884290277829</v>
      </c>
      <c r="W9" s="97">
        <f t="shared" si="5"/>
        <v>1.5</v>
      </c>
      <c r="X9" s="97">
        <v>9527.1362573927199</v>
      </c>
      <c r="Y9" s="97">
        <f>'Price &amp; GCV of fuels'!H9</f>
        <v>9479.9718589579061</v>
      </c>
      <c r="Z9" s="97">
        <f t="shared" si="6"/>
        <v>9479.9718589579061</v>
      </c>
      <c r="AA9" s="97">
        <v>3342.807695849719</v>
      </c>
      <c r="AB9" s="97">
        <f>'Price &amp; GCV of fuels'!R9</f>
        <v>3305</v>
      </c>
      <c r="AC9" s="97">
        <f>'Price &amp; GCV of fuels'!T9</f>
        <v>3305</v>
      </c>
      <c r="AD9" s="97">
        <v>39636.47166979732</v>
      </c>
      <c r="AE9" s="97">
        <f>'Price &amp; GCV of fuels'!K9</f>
        <v>39479.920709761136</v>
      </c>
      <c r="AF9" s="97">
        <f t="shared" si="7"/>
        <v>39479.920709761136</v>
      </c>
      <c r="AG9" s="97">
        <v>3712.3960449529568</v>
      </c>
      <c r="AH9" s="97">
        <f>'Price &amp; GCV of fuels'!W9</f>
        <v>3926.9005756173324</v>
      </c>
      <c r="AI9" s="97">
        <f>'Price &amp; GCV of fuels'!Z9</f>
        <v>3929.6617420133011</v>
      </c>
      <c r="AJ9" s="97">
        <f t="shared" si="8"/>
        <v>0.81958327995218261</v>
      </c>
      <c r="AK9" s="97">
        <f t="shared" si="8"/>
        <v>0.81214259392656662</v>
      </c>
      <c r="AL9" s="97">
        <f t="shared" si="8"/>
        <v>0.82898034560107814</v>
      </c>
      <c r="AM9" s="124">
        <f t="shared" si="9"/>
        <v>3.4854746455154499</v>
      </c>
      <c r="AN9" s="124">
        <f t="shared" si="9"/>
        <v>3.7934342511036907</v>
      </c>
      <c r="AO9" s="124">
        <f t="shared" si="9"/>
        <v>3.7267777865777112</v>
      </c>
      <c r="AP9" s="97">
        <f t="shared" si="10"/>
        <v>1183.3205835618728</v>
      </c>
      <c r="AQ9" s="97">
        <f t="shared" si="10"/>
        <v>791.19859227284985</v>
      </c>
      <c r="AR9" s="97">
        <f t="shared" si="10"/>
        <v>782.67223795943471</v>
      </c>
      <c r="AT9" s="9">
        <f t="shared" si="11"/>
        <v>768.69813446858745</v>
      </c>
      <c r="AU9" s="9">
        <f t="shared" si="12"/>
        <v>13.974103490847289</v>
      </c>
      <c r="AV9" s="13">
        <f t="shared" si="13"/>
        <v>782.67223795943471</v>
      </c>
      <c r="AX9" s="91">
        <v>782.65173868109093</v>
      </c>
    </row>
    <row r="10" spans="2:50" x14ac:dyDescent="0.35">
      <c r="B10" s="7" t="s">
        <v>154</v>
      </c>
      <c r="C10" s="105">
        <v>0.85</v>
      </c>
      <c r="D10" s="105">
        <v>0.44919999999999999</v>
      </c>
      <c r="E10" s="125">
        <f>C10*0+D10</f>
        <v>0.44919999999999999</v>
      </c>
      <c r="F10" s="105">
        <v>0.5071</v>
      </c>
      <c r="G10" s="105">
        <v>0.441</v>
      </c>
      <c r="H10" s="105"/>
      <c r="I10" s="97">
        <v>2990.7833615999998</v>
      </c>
      <c r="J10" s="97">
        <v>2598.328</v>
      </c>
      <c r="K10" s="97">
        <f t="shared" si="1"/>
        <v>2598.328</v>
      </c>
      <c r="L10" s="105">
        <v>0.03</v>
      </c>
      <c r="M10" s="105">
        <v>2.8218146438786788E-2</v>
      </c>
      <c r="N10" s="105">
        <f t="shared" si="2"/>
        <v>0.03</v>
      </c>
      <c r="O10" s="97">
        <f t="shared" si="3"/>
        <v>2901.0598607519996</v>
      </c>
      <c r="P10" s="97">
        <f t="shared" si="3"/>
        <v>2525.0079999999998</v>
      </c>
      <c r="Q10" s="97">
        <f t="shared" si="3"/>
        <v>2520.3781599999998</v>
      </c>
      <c r="R10" s="97">
        <v>2035</v>
      </c>
      <c r="S10" s="97">
        <v>2091.8790488407585</v>
      </c>
      <c r="T10" s="97">
        <f t="shared" si="4"/>
        <v>2035</v>
      </c>
      <c r="U10" s="97"/>
      <c r="V10" s="97"/>
      <c r="W10" s="97"/>
      <c r="X10" s="97"/>
      <c r="Y10" s="97">
        <f>'Price &amp; GCV of fuels'!H10</f>
        <v>0</v>
      </c>
      <c r="Z10" s="97">
        <f t="shared" si="6"/>
        <v>0</v>
      </c>
      <c r="AA10" s="97">
        <v>8446.183533871812</v>
      </c>
      <c r="AB10" s="97">
        <f>'Price &amp; GCV of fuels'!R10</f>
        <v>8377.8700000000008</v>
      </c>
      <c r="AC10" s="97">
        <f>'Price &amp; GCV of fuels'!T10</f>
        <v>8377.8700000000008</v>
      </c>
      <c r="AD10" s="97"/>
      <c r="AE10" s="97">
        <f>'Price &amp; GCV of fuels'!K10</f>
        <v>0</v>
      </c>
      <c r="AF10" s="97">
        <f t="shared" si="7"/>
        <v>0</v>
      </c>
      <c r="AG10" s="97">
        <v>10074.68164583157</v>
      </c>
      <c r="AH10" s="97">
        <f>'Price &amp; GCV of fuels'!W10</f>
        <v>9463.178438853678</v>
      </c>
      <c r="AI10" s="97">
        <f>'Price &amp; GCV of fuels'!Z10</f>
        <v>9463.178438853678</v>
      </c>
      <c r="AJ10" s="97">
        <f t="shared" si="8"/>
        <v>0.24093722233704959</v>
      </c>
      <c r="AK10" s="97">
        <f t="shared" si="8"/>
        <v>0.2496910370823083</v>
      </c>
      <c r="AL10" s="97">
        <f t="shared" si="8"/>
        <v>0.24290183543072402</v>
      </c>
      <c r="AM10" s="124">
        <f t="shared" si="9"/>
        <v>2.5024389811100143</v>
      </c>
      <c r="AN10" s="124">
        <f t="shared" si="9"/>
        <v>2.4314827755151898</v>
      </c>
      <c r="AO10" s="124">
        <f t="shared" si="9"/>
        <v>2.3697148575319713</v>
      </c>
      <c r="AP10" s="97">
        <f t="shared" si="10"/>
        <v>725.97252820793938</v>
      </c>
      <c r="AQ10" s="97">
        <f t="shared" si="10"/>
        <v>613.95134600380584</v>
      </c>
      <c r="AR10" s="97">
        <f t="shared" si="10"/>
        <v>597.25775723510912</v>
      </c>
      <c r="AT10" s="9">
        <f t="shared" si="11"/>
        <v>597.25775723510912</v>
      </c>
      <c r="AU10" s="9">
        <f t="shared" si="12"/>
        <v>0</v>
      </c>
      <c r="AV10" s="13">
        <f t="shared" si="13"/>
        <v>597.25775723510912</v>
      </c>
      <c r="AX10" s="91">
        <v>597.25775723510901</v>
      </c>
    </row>
    <row r="11" spans="2:50" x14ac:dyDescent="0.35">
      <c r="B11" s="7" t="s">
        <v>155</v>
      </c>
      <c r="C11" s="105">
        <v>0.85</v>
      </c>
      <c r="D11" s="105">
        <v>0.81869999999999998</v>
      </c>
      <c r="E11" s="105">
        <f t="shared" si="0"/>
        <v>0.85</v>
      </c>
      <c r="F11" s="105">
        <v>0.78384999999999994</v>
      </c>
      <c r="G11" s="105">
        <v>0.61770000000000003</v>
      </c>
      <c r="H11" s="105"/>
      <c r="I11" s="97">
        <v>3480.701</v>
      </c>
      <c r="J11" s="97">
        <v>2773.951</v>
      </c>
      <c r="K11" s="97">
        <f t="shared" si="1"/>
        <v>2773.951</v>
      </c>
      <c r="L11" s="105">
        <v>8.5000000000000006E-2</v>
      </c>
      <c r="M11" s="105">
        <v>0.10495210621961239</v>
      </c>
      <c r="N11" s="105">
        <f t="shared" si="2"/>
        <v>8.5000000000000006E-2</v>
      </c>
      <c r="O11" s="97">
        <f t="shared" si="3"/>
        <v>3184.8414150000003</v>
      </c>
      <c r="P11" s="97">
        <f t="shared" si="3"/>
        <v>2482.819</v>
      </c>
      <c r="Q11" s="97">
        <f t="shared" si="3"/>
        <v>2538.1651650000003</v>
      </c>
      <c r="R11" s="97">
        <v>2450</v>
      </c>
      <c r="S11" s="97">
        <v>2461.3801224318672</v>
      </c>
      <c r="T11" s="97">
        <f t="shared" si="4"/>
        <v>2450</v>
      </c>
      <c r="U11" s="97">
        <v>0.5</v>
      </c>
      <c r="V11" s="97">
        <v>1.4327509750532723</v>
      </c>
      <c r="W11" s="97">
        <f t="shared" si="5"/>
        <v>0.5</v>
      </c>
      <c r="X11" s="97">
        <v>9552.5639943337846</v>
      </c>
      <c r="Y11" s="97">
        <f>'Price &amp; GCV of fuels'!H11</f>
        <v>9464.5974791588633</v>
      </c>
      <c r="Z11" s="97">
        <f t="shared" si="6"/>
        <v>9464.5974791588633</v>
      </c>
      <c r="AA11" s="97">
        <v>3163.8528295113733</v>
      </c>
      <c r="AB11" s="97">
        <f>'Price &amp; GCV of fuels'!R11</f>
        <v>3253.35</v>
      </c>
      <c r="AC11" s="97">
        <f>'Price &amp; GCV of fuels'!T11</f>
        <v>3253.35</v>
      </c>
      <c r="AD11" s="97">
        <v>37132.978333227569</v>
      </c>
      <c r="AE11" s="97">
        <f>'Price &amp; GCV of fuels'!K11</f>
        <v>39194.678018051112</v>
      </c>
      <c r="AF11" s="97">
        <f t="shared" si="7"/>
        <v>39194.678018051112</v>
      </c>
      <c r="AG11" s="97">
        <v>3655.1151774405912</v>
      </c>
      <c r="AH11" s="97">
        <f>'Price &amp; GCV of fuels'!W11</f>
        <v>3461.9988345026923</v>
      </c>
      <c r="AI11" s="97">
        <f>'Price &amp; GCV of fuels'!Z11</f>
        <v>3461.9988345026923</v>
      </c>
      <c r="AJ11" s="97">
        <f t="shared" si="8"/>
        <v>0.77286266137115944</v>
      </c>
      <c r="AK11" s="97">
        <f t="shared" si="8"/>
        <v>0.75239974523648412</v>
      </c>
      <c r="AL11" s="97">
        <f t="shared" si="8"/>
        <v>0.75161531998107201</v>
      </c>
      <c r="AM11" s="124">
        <f t="shared" si="9"/>
        <v>3.1076158828649909</v>
      </c>
      <c r="AN11" s="124">
        <f t="shared" si="9"/>
        <v>2.9729842086964302</v>
      </c>
      <c r="AO11" s="124">
        <f t="shared" si="9"/>
        <v>2.8652335527626938</v>
      </c>
      <c r="AP11" s="97">
        <f t="shared" si="10"/>
        <v>989.72637656602126</v>
      </c>
      <c r="AQ11" s="97">
        <f t="shared" si="10"/>
        <v>738.13816800514621</v>
      </c>
      <c r="AR11" s="97">
        <f t="shared" si="10"/>
        <v>727.24359932114589</v>
      </c>
      <c r="AT11" s="9">
        <f t="shared" si="11"/>
        <v>721.80739350700344</v>
      </c>
      <c r="AU11" s="9">
        <f t="shared" si="12"/>
        <v>5.4362058141425456</v>
      </c>
      <c r="AV11" s="13">
        <f t="shared" si="13"/>
        <v>727.24359932114601</v>
      </c>
      <c r="AX11" s="91">
        <v>727.24359932114601</v>
      </c>
    </row>
    <row r="12" spans="2:50" x14ac:dyDescent="0.35">
      <c r="B12" s="7" t="s">
        <v>156</v>
      </c>
      <c r="C12" s="105">
        <v>0.85</v>
      </c>
      <c r="D12" s="105">
        <v>0.78590000000000004</v>
      </c>
      <c r="E12" s="105">
        <f t="shared" si="0"/>
        <v>0.85</v>
      </c>
      <c r="F12" s="105">
        <v>0.51370843162431445</v>
      </c>
      <c r="G12" s="105">
        <v>0.34770000000000001</v>
      </c>
      <c r="H12" s="105"/>
      <c r="I12" s="97">
        <v>2176.5360000000001</v>
      </c>
      <c r="J12" s="97">
        <v>1565.78</v>
      </c>
      <c r="K12" s="97">
        <f t="shared" si="1"/>
        <v>1565.78</v>
      </c>
      <c r="L12" s="105">
        <v>8.5000000000000006E-2</v>
      </c>
      <c r="M12" s="105">
        <v>0.10981747116453142</v>
      </c>
      <c r="N12" s="105">
        <f t="shared" si="2"/>
        <v>8.5000000000000006E-2</v>
      </c>
      <c r="O12" s="97">
        <f t="shared" si="3"/>
        <v>1991.5304400000002</v>
      </c>
      <c r="P12" s="97">
        <f t="shared" si="3"/>
        <v>1393.83</v>
      </c>
      <c r="Q12" s="97">
        <f t="shared" si="3"/>
        <v>1432.6886999999999</v>
      </c>
      <c r="R12" s="97">
        <v>2450</v>
      </c>
      <c r="S12" s="97">
        <v>2466.2909220963356</v>
      </c>
      <c r="T12" s="97">
        <f t="shared" si="4"/>
        <v>2450</v>
      </c>
      <c r="U12" s="97">
        <v>0.5</v>
      </c>
      <c r="V12" s="97">
        <v>2.2921483222419496</v>
      </c>
      <c r="W12" s="97">
        <f t="shared" si="5"/>
        <v>0.5</v>
      </c>
      <c r="X12" s="97">
        <v>9465.1963231920618</v>
      </c>
      <c r="Y12" s="97">
        <f>'Price &amp; GCV of fuels'!H12</f>
        <v>9479.4996049038709</v>
      </c>
      <c r="Z12" s="97">
        <f t="shared" si="6"/>
        <v>9479.4996049038709</v>
      </c>
      <c r="AA12" s="97">
        <v>3205.439857837604</v>
      </c>
      <c r="AB12" s="97">
        <f>'Price &amp; GCV of fuels'!R12</f>
        <v>3100.15</v>
      </c>
      <c r="AC12" s="97">
        <f>'Price &amp; GCV of fuels'!T12</f>
        <v>3100.15</v>
      </c>
      <c r="AD12" s="97">
        <v>38566.950722222507</v>
      </c>
      <c r="AE12" s="97">
        <f>'Price &amp; GCV of fuels'!K12</f>
        <v>39574.173271106156</v>
      </c>
      <c r="AF12" s="97">
        <f t="shared" si="7"/>
        <v>39574.173271106156</v>
      </c>
      <c r="AG12" s="97">
        <v>3976.4893340182002</v>
      </c>
      <c r="AH12" s="97">
        <f>'Price &amp; GCV of fuels'!W12</f>
        <v>4113.5864607431922</v>
      </c>
      <c r="AI12" s="97">
        <f>'Price &amp; GCV of fuels'!Z12</f>
        <v>4120.1641287139219</v>
      </c>
      <c r="AJ12" s="97">
        <f t="shared" si="8"/>
        <v>0.76284925323415254</v>
      </c>
      <c r="AK12" s="97">
        <f t="shared" si="8"/>
        <v>0.7885303946522787</v>
      </c>
      <c r="AL12" s="97">
        <f t="shared" si="8"/>
        <v>0.78875546350903925</v>
      </c>
      <c r="AM12" s="124">
        <f t="shared" si="9"/>
        <v>3.3363337642737352</v>
      </c>
      <c r="AN12" s="124">
        <f t="shared" si="9"/>
        <v>3.7457462061804527</v>
      </c>
      <c r="AO12" s="124">
        <f t="shared" si="9"/>
        <v>3.5733213701777258</v>
      </c>
      <c r="AP12" s="97">
        <f t="shared" si="10"/>
        <v>664.44102495509287</v>
      </c>
      <c r="AQ12" s="97">
        <f t="shared" si="10"/>
        <v>522.09334345604998</v>
      </c>
      <c r="AR12" s="97">
        <f t="shared" si="10"/>
        <v>511.94571485221439</v>
      </c>
      <c r="AT12" s="9">
        <f t="shared" si="11"/>
        <v>508.84749240099285</v>
      </c>
      <c r="AU12" s="9">
        <f t="shared" si="12"/>
        <v>3.0982224512216296</v>
      </c>
      <c r="AV12" s="13">
        <f t="shared" si="13"/>
        <v>511.94571485221445</v>
      </c>
      <c r="AX12" s="91">
        <v>511.94571485221445</v>
      </c>
    </row>
    <row r="13" spans="2:50" x14ac:dyDescent="0.35">
      <c r="B13" s="7" t="s">
        <v>8</v>
      </c>
      <c r="C13" s="105">
        <v>0.85</v>
      </c>
      <c r="D13" s="105">
        <v>0.81869999999999998</v>
      </c>
      <c r="E13" s="105">
        <f t="shared" si="0"/>
        <v>0.85</v>
      </c>
      <c r="F13" s="105">
        <v>0.77206066329496548</v>
      </c>
      <c r="G13" s="105">
        <v>0.75329999999999997</v>
      </c>
      <c r="H13" s="105"/>
      <c r="I13" s="97">
        <v>3395.2829999999999</v>
      </c>
      <c r="J13" s="97">
        <v>3303.5909999999999</v>
      </c>
      <c r="K13" s="97">
        <f t="shared" si="1"/>
        <v>3303.5909999999999</v>
      </c>
      <c r="L13" s="105">
        <v>0.06</v>
      </c>
      <c r="M13" s="105">
        <v>5.8566571951552113E-2</v>
      </c>
      <c r="N13" s="105">
        <f t="shared" si="2"/>
        <v>0.06</v>
      </c>
      <c r="O13" s="97">
        <f t="shared" si="3"/>
        <v>3191.5660199999998</v>
      </c>
      <c r="P13" s="97">
        <f t="shared" si="3"/>
        <v>3110.1109999999999</v>
      </c>
      <c r="Q13" s="97">
        <f t="shared" si="3"/>
        <v>3105.3755399999995</v>
      </c>
      <c r="R13" s="97">
        <v>2375</v>
      </c>
      <c r="S13" s="97">
        <v>2370.0232568834945</v>
      </c>
      <c r="T13" s="97">
        <f t="shared" si="4"/>
        <v>2375</v>
      </c>
      <c r="U13" s="97">
        <v>0.5</v>
      </c>
      <c r="V13" s="97">
        <v>0.44708924319021337</v>
      </c>
      <c r="W13" s="97">
        <f t="shared" si="5"/>
        <v>0.5</v>
      </c>
      <c r="X13" s="97">
        <v>9560.6385353762416</v>
      </c>
      <c r="Y13" s="97">
        <f>'Price &amp; GCV of fuels'!H13</f>
        <v>9534.2323838862558</v>
      </c>
      <c r="Z13" s="97">
        <f t="shared" si="6"/>
        <v>9534.2323838862558</v>
      </c>
      <c r="AA13" s="97">
        <v>3063.1271280490746</v>
      </c>
      <c r="AB13" s="97">
        <f>'Price &amp; GCV of fuels'!R13</f>
        <v>2928</v>
      </c>
      <c r="AC13" s="97">
        <f>'Price &amp; GCV of fuels'!T13</f>
        <v>2928</v>
      </c>
      <c r="AD13" s="97">
        <v>42706.299534634338</v>
      </c>
      <c r="AE13" s="97">
        <f>'Price &amp; GCV of fuels'!K13</f>
        <v>42854.21345971564</v>
      </c>
      <c r="AF13" s="97">
        <f t="shared" si="7"/>
        <v>42854.21345971564</v>
      </c>
      <c r="AG13" s="97">
        <v>3229.0054581847357</v>
      </c>
      <c r="AH13" s="97">
        <f>'Price &amp; GCV of fuels'!W13</f>
        <v>2996.6889729139152</v>
      </c>
      <c r="AI13" s="97">
        <f>'Price &amp; GCV of fuels'!Z13</f>
        <v>2989.6693849764902</v>
      </c>
      <c r="AJ13" s="97">
        <f t="shared" si="8"/>
        <v>0.77379082932216403</v>
      </c>
      <c r="AK13" s="97">
        <f t="shared" si="8"/>
        <v>0.80797834840935223</v>
      </c>
      <c r="AL13" s="97">
        <f t="shared" si="8"/>
        <v>0.80950576632788829</v>
      </c>
      <c r="AM13" s="124">
        <f t="shared" si="9"/>
        <v>2.6807744267466789</v>
      </c>
      <c r="AN13" s="124">
        <f t="shared" si="9"/>
        <v>2.5922379556392077</v>
      </c>
      <c r="AO13" s="124">
        <f t="shared" si="9"/>
        <v>2.5974273545556152</v>
      </c>
      <c r="AP13" s="97">
        <f t="shared" si="10"/>
        <v>855.58685676896789</v>
      </c>
      <c r="AQ13" s="97">
        <f t="shared" si="10"/>
        <v>806.21477804510118</v>
      </c>
      <c r="AR13" s="97">
        <f t="shared" si="10"/>
        <v>806.59873737639134</v>
      </c>
      <c r="AT13" s="9">
        <f t="shared" si="11"/>
        <v>799.52009768151163</v>
      </c>
      <c r="AU13" s="9">
        <f t="shared" si="12"/>
        <v>7.0786396948797714</v>
      </c>
      <c r="AV13" s="13">
        <f t="shared" si="13"/>
        <v>806.59873737639145</v>
      </c>
      <c r="AX13" s="91">
        <v>806.61462659525694</v>
      </c>
    </row>
    <row r="14" spans="2:50" x14ac:dyDescent="0.35">
      <c r="B14" s="7" t="s">
        <v>157</v>
      </c>
      <c r="C14" s="105">
        <v>0.85</v>
      </c>
      <c r="D14" s="105">
        <v>0.83720000000000006</v>
      </c>
      <c r="E14" s="105">
        <f t="shared" si="0"/>
        <v>0.85</v>
      </c>
      <c r="F14" s="105">
        <v>0.706289305507112</v>
      </c>
      <c r="G14" s="105">
        <v>0.59799999999999998</v>
      </c>
      <c r="H14" s="105"/>
      <c r="I14" s="97">
        <v>6844.8220000000001</v>
      </c>
      <c r="J14" s="97">
        <v>5264.7659999999996</v>
      </c>
      <c r="K14" s="97">
        <f t="shared" si="1"/>
        <v>5264.7659999999996</v>
      </c>
      <c r="L14" s="105">
        <v>0.06</v>
      </c>
      <c r="M14" s="105">
        <v>6.2829599122354543E-2</v>
      </c>
      <c r="N14" s="105">
        <f t="shared" si="2"/>
        <v>0.06</v>
      </c>
      <c r="O14" s="97">
        <f t="shared" si="3"/>
        <v>6434.1326799999997</v>
      </c>
      <c r="P14" s="97">
        <f t="shared" si="3"/>
        <v>4933.9828627469979</v>
      </c>
      <c r="Q14" s="97">
        <f t="shared" si="3"/>
        <v>4948.8800399999991</v>
      </c>
      <c r="R14" s="97">
        <v>2375</v>
      </c>
      <c r="S14" s="97">
        <v>2374.618186604419</v>
      </c>
      <c r="T14" s="97">
        <f t="shared" si="4"/>
        <v>2375</v>
      </c>
      <c r="U14" s="97">
        <v>0.5</v>
      </c>
      <c r="V14" s="97">
        <v>0.63478604747105583</v>
      </c>
      <c r="W14" s="97">
        <f t="shared" si="5"/>
        <v>0.5</v>
      </c>
      <c r="X14" s="97">
        <v>8767.2860197483133</v>
      </c>
      <c r="Y14" s="97">
        <f>'Price &amp; GCV of fuels'!H14</f>
        <v>9350.5448982645121</v>
      </c>
      <c r="Z14" s="97">
        <f t="shared" si="6"/>
        <v>9350.5448982645121</v>
      </c>
      <c r="AA14" s="97">
        <v>3185.4941635111209</v>
      </c>
      <c r="AB14" s="97">
        <f>'Price &amp; GCV of fuels'!R14</f>
        <v>3095.6039999999998</v>
      </c>
      <c r="AC14" s="97">
        <f>'Price &amp; GCV of fuels'!T14</f>
        <v>3356.8202936347989</v>
      </c>
      <c r="AD14" s="97">
        <v>35589.527301113165</v>
      </c>
      <c r="AE14" s="97">
        <f>'Price &amp; GCV of fuels'!K14</f>
        <v>35843.858168761224</v>
      </c>
      <c r="AF14" s="97">
        <f t="shared" si="7"/>
        <v>35843.858168761224</v>
      </c>
      <c r="AG14" s="97">
        <v>3890.6262241731433</v>
      </c>
      <c r="AH14" s="97">
        <f>'Price &amp; GCV of fuels'!W14</f>
        <v>3782.4585157253055</v>
      </c>
      <c r="AI14" s="97">
        <f>'Price &amp; GCV of fuels'!Z14</f>
        <v>3782.9302179550909</v>
      </c>
      <c r="AJ14" s="97">
        <f t="shared" si="8"/>
        <v>0.74419108474434659</v>
      </c>
      <c r="AK14" s="97">
        <f t="shared" si="8"/>
        <v>0.76517622769797067</v>
      </c>
      <c r="AL14" s="97">
        <f t="shared" si="8"/>
        <v>0.70612202030757398</v>
      </c>
      <c r="AM14" s="124">
        <f t="shared" si="9"/>
        <v>3.0991107593114573</v>
      </c>
      <c r="AN14" s="124">
        <f t="shared" si="9"/>
        <v>3.1125615115544516</v>
      </c>
      <c r="AO14" s="124">
        <f t="shared" si="9"/>
        <v>2.8607789970951067</v>
      </c>
      <c r="AP14" s="97">
        <f t="shared" si="10"/>
        <v>1994.0089815425461</v>
      </c>
      <c r="AQ14" s="97">
        <f t="shared" si="10"/>
        <v>1535.7325157255557</v>
      </c>
      <c r="AR14" s="97">
        <f t="shared" si="10"/>
        <v>1415.765207757519</v>
      </c>
      <c r="AT14" s="9">
        <f t="shared" si="11"/>
        <v>1406.3297314677336</v>
      </c>
      <c r="AU14" s="9">
        <f t="shared" si="12"/>
        <v>9.435476289785818</v>
      </c>
      <c r="AV14" s="13">
        <f t="shared" si="13"/>
        <v>1415.7652077575194</v>
      </c>
      <c r="AX14" s="91">
        <v>1415.6908999493314</v>
      </c>
    </row>
    <row r="15" spans="2:50" x14ac:dyDescent="0.35">
      <c r="B15" s="7" t="s">
        <v>158</v>
      </c>
      <c r="C15" s="105">
        <v>0.85</v>
      </c>
      <c r="D15" s="105">
        <v>0.53759999999999997</v>
      </c>
      <c r="E15" s="105">
        <f t="shared" si="0"/>
        <v>0.85</v>
      </c>
      <c r="F15" s="105">
        <v>0.623988232810608</v>
      </c>
      <c r="G15" s="105">
        <v>0.50319999999999998</v>
      </c>
      <c r="H15" s="105"/>
      <c r="I15" s="97">
        <v>10974.271000000001</v>
      </c>
      <c r="J15" s="97">
        <v>8952.6200000000008</v>
      </c>
      <c r="K15" s="97">
        <f t="shared" si="1"/>
        <v>8952.6200000000008</v>
      </c>
      <c r="L15" s="105">
        <v>0.06</v>
      </c>
      <c r="M15" s="105">
        <v>8.1134907993414218E-2</v>
      </c>
      <c r="N15" s="105">
        <f t="shared" si="2"/>
        <v>0.06</v>
      </c>
      <c r="O15" s="97">
        <f t="shared" si="3"/>
        <v>10315.81474</v>
      </c>
      <c r="P15" s="97">
        <f t="shared" si="3"/>
        <v>8226.25</v>
      </c>
      <c r="Q15" s="97">
        <f t="shared" si="3"/>
        <v>8415.4628000000012</v>
      </c>
      <c r="R15" s="97">
        <v>2222.13</v>
      </c>
      <c r="S15" s="97">
        <v>2291.4978829489028</v>
      </c>
      <c r="T15" s="97">
        <f t="shared" si="4"/>
        <v>2222.13</v>
      </c>
      <c r="U15" s="97">
        <v>0.5</v>
      </c>
      <c r="V15" s="97">
        <v>2.6724020454347444</v>
      </c>
      <c r="W15" s="97">
        <f t="shared" si="5"/>
        <v>0.5</v>
      </c>
      <c r="X15" s="97">
        <v>9582.5966592647055</v>
      </c>
      <c r="Y15" s="97">
        <f>'Price &amp; GCV of fuels'!H15</f>
        <v>9471.305412330199</v>
      </c>
      <c r="Z15" s="97">
        <f t="shared" si="6"/>
        <v>9471.305412330199</v>
      </c>
      <c r="AA15" s="97">
        <v>3285.4437802453035</v>
      </c>
      <c r="AB15" s="97">
        <f>'Price &amp; GCV of fuels'!R15</f>
        <v>3061.28</v>
      </c>
      <c r="AC15" s="97">
        <f>'Price &amp; GCV of fuels'!T15</f>
        <v>3163.4054033453958</v>
      </c>
      <c r="AD15" s="97">
        <v>43739.211882973927</v>
      </c>
      <c r="AE15" s="97">
        <f>'Price &amp; GCV of fuels'!K15</f>
        <v>42748.366591561295</v>
      </c>
      <c r="AF15" s="97">
        <f t="shared" si="7"/>
        <v>42748.366591561295</v>
      </c>
      <c r="AG15" s="97">
        <v>3719.400136652971</v>
      </c>
      <c r="AH15" s="97">
        <f>'Price &amp; GCV of fuels'!W15</f>
        <v>4043.5729240818682</v>
      </c>
      <c r="AI15" s="97">
        <f>'Price &amp; GCV of fuels'!Z15</f>
        <v>4047.0715387393311</v>
      </c>
      <c r="AJ15" s="97">
        <f t="shared" si="8"/>
        <v>0.67489777636822412</v>
      </c>
      <c r="AK15" s="97">
        <f t="shared" si="8"/>
        <v>0.74027424704439126</v>
      </c>
      <c r="AL15" s="97">
        <f t="shared" si="8"/>
        <v>0.70095168483586523</v>
      </c>
      <c r="AM15" s="124">
        <f t="shared" si="9"/>
        <v>2.6937069016938793</v>
      </c>
      <c r="AN15" s="124">
        <f t="shared" si="9"/>
        <v>3.3819912749931769</v>
      </c>
      <c r="AO15" s="124">
        <f t="shared" si="9"/>
        <v>3.0406125500280767</v>
      </c>
      <c r="AP15" s="97">
        <f t="shared" si="10"/>
        <v>2778.778136173345</v>
      </c>
      <c r="AQ15" s="97">
        <f t="shared" si="10"/>
        <v>2782.1105725912621</v>
      </c>
      <c r="AR15" s="97">
        <f t="shared" si="10"/>
        <v>2558.8161803974422</v>
      </c>
      <c r="AT15" s="9">
        <f t="shared" si="11"/>
        <v>2539.6806863116949</v>
      </c>
      <c r="AU15" s="9">
        <f t="shared" si="12"/>
        <v>19.135494085747176</v>
      </c>
      <c r="AV15" s="13">
        <f t="shared" si="13"/>
        <v>2558.8161803974422</v>
      </c>
      <c r="AX15" s="91">
        <v>2555.9987412335809</v>
      </c>
    </row>
    <row r="16" spans="2:50" x14ac:dyDescent="0.35">
      <c r="B16" s="7" t="s">
        <v>159</v>
      </c>
      <c r="C16" s="105">
        <v>0.85</v>
      </c>
      <c r="D16" s="105">
        <v>0.82089999999999996</v>
      </c>
      <c r="E16" s="105">
        <f t="shared" si="0"/>
        <v>0.85</v>
      </c>
      <c r="F16" s="105">
        <v>0.77534999999999998</v>
      </c>
      <c r="G16" s="105">
        <v>0.76100000000000001</v>
      </c>
      <c r="H16" s="105"/>
      <c r="I16" s="97">
        <v>6842.4869999999992</v>
      </c>
      <c r="J16" s="97">
        <v>6708.9750000000004</v>
      </c>
      <c r="K16" s="97">
        <f t="shared" si="1"/>
        <v>6708.9750000000004</v>
      </c>
      <c r="L16" s="105">
        <v>0.06</v>
      </c>
      <c r="M16" s="105">
        <v>6.3407599521536448E-2</v>
      </c>
      <c r="N16" s="105">
        <f t="shared" si="2"/>
        <v>0.06</v>
      </c>
      <c r="O16" s="97">
        <f t="shared" si="3"/>
        <v>6431.9377799999993</v>
      </c>
      <c r="P16" s="97">
        <f t="shared" si="3"/>
        <v>6283.5750000000007</v>
      </c>
      <c r="Q16" s="97">
        <f t="shared" si="3"/>
        <v>6306.4364999999998</v>
      </c>
      <c r="R16" s="97">
        <v>2318.58</v>
      </c>
      <c r="S16" s="97">
        <v>2318.7956061932</v>
      </c>
      <c r="T16" s="97">
        <f t="shared" si="4"/>
        <v>2318.58</v>
      </c>
      <c r="U16" s="97">
        <v>0.5</v>
      </c>
      <c r="V16" s="97">
        <v>2.5538923606065009</v>
      </c>
      <c r="W16" s="97">
        <f t="shared" si="5"/>
        <v>0.5</v>
      </c>
      <c r="X16" s="97">
        <v>9467.2610856394276</v>
      </c>
      <c r="Y16" s="97">
        <f>'Price &amp; GCV of fuels'!H16</f>
        <v>9475.0147374226672</v>
      </c>
      <c r="Z16" s="97">
        <f t="shared" si="6"/>
        <v>9475.0147374226672</v>
      </c>
      <c r="AA16" s="97">
        <v>3419.3626048478714</v>
      </c>
      <c r="AB16" s="97">
        <f>'Price &amp; GCV of fuels'!R16</f>
        <v>3259.28</v>
      </c>
      <c r="AC16" s="97">
        <f>'Price &amp; GCV of fuels'!T16</f>
        <v>3259.28</v>
      </c>
      <c r="AD16" s="97">
        <v>41289.949511235871</v>
      </c>
      <c r="AE16" s="97">
        <f>'Price &amp; GCV of fuels'!K16</f>
        <v>40535.59789788432</v>
      </c>
      <c r="AF16" s="97">
        <f t="shared" si="7"/>
        <v>40535.59789788432</v>
      </c>
      <c r="AG16" s="97">
        <v>3747.6120569086861</v>
      </c>
      <c r="AH16" s="97">
        <f>'Price &amp; GCV of fuels'!W16</f>
        <v>4152.6379192206159</v>
      </c>
      <c r="AI16" s="97">
        <f>'Price &amp; GCV of fuels'!Z16</f>
        <v>4132.262528906188</v>
      </c>
      <c r="AJ16" s="97">
        <f t="shared" si="8"/>
        <v>0.6766893824529393</v>
      </c>
      <c r="AK16" s="97">
        <f t="shared" si="8"/>
        <v>0.70401973394082806</v>
      </c>
      <c r="AL16" s="97">
        <f t="shared" si="8"/>
        <v>0.70992442890187046</v>
      </c>
      <c r="AM16" s="124">
        <f t="shared" si="9"/>
        <v>2.7198024076790919</v>
      </c>
      <c r="AN16" s="124">
        <f t="shared" si="9"/>
        <v>3.2319956848890969</v>
      </c>
      <c r="AO16" s="124">
        <f t="shared" si="9"/>
        <v>3.1424062923992198</v>
      </c>
      <c r="AP16" s="97">
        <f t="shared" si="10"/>
        <v>1749.359986008611</v>
      </c>
      <c r="AQ16" s="97">
        <f t="shared" si="10"/>
        <v>2030.8487285677008</v>
      </c>
      <c r="AR16" s="97">
        <f t="shared" si="10"/>
        <v>1981.7385740216112</v>
      </c>
      <c r="AT16" s="9">
        <f t="shared" si="11"/>
        <v>1968.1409583762634</v>
      </c>
      <c r="AU16" s="9">
        <f t="shared" si="12"/>
        <v>13.597615645347924</v>
      </c>
      <c r="AV16" s="13">
        <f t="shared" si="13"/>
        <v>1981.7385740216114</v>
      </c>
      <c r="AX16" s="91">
        <v>1979.8569902559871</v>
      </c>
    </row>
    <row r="17" spans="2:50" x14ac:dyDescent="0.35">
      <c r="B17" s="7" t="s">
        <v>160</v>
      </c>
      <c r="C17" s="105">
        <v>0.85</v>
      </c>
      <c r="D17" s="105">
        <v>0.67479999999999996</v>
      </c>
      <c r="E17" s="105">
        <f t="shared" si="0"/>
        <v>0.85</v>
      </c>
      <c r="F17" s="105">
        <v>0.51370843162431445</v>
      </c>
      <c r="G17" s="105">
        <v>0.38819999999999999</v>
      </c>
      <c r="H17" s="105"/>
      <c r="I17" s="97">
        <v>1105.29</v>
      </c>
      <c r="J17" s="97">
        <v>867.82500000000005</v>
      </c>
      <c r="K17" s="97">
        <f t="shared" si="1"/>
        <v>867.82500000000005</v>
      </c>
      <c r="L17" s="105">
        <v>8.5000000000000006E-2</v>
      </c>
      <c r="M17" s="105">
        <v>0.10427908852591247</v>
      </c>
      <c r="N17" s="105">
        <f t="shared" si="2"/>
        <v>8.5000000000000006E-2</v>
      </c>
      <c r="O17" s="97">
        <f t="shared" si="3"/>
        <v>1011.3403500000001</v>
      </c>
      <c r="P17" s="97">
        <f t="shared" si="3"/>
        <v>777.32900000000006</v>
      </c>
      <c r="Q17" s="97">
        <f t="shared" si="3"/>
        <v>794.05987500000003</v>
      </c>
      <c r="R17" s="97">
        <v>2352.8296511627905</v>
      </c>
      <c r="S17" s="97">
        <v>2380.10889292196</v>
      </c>
      <c r="T17" s="97">
        <f t="shared" si="4"/>
        <v>2352.8296511627905</v>
      </c>
      <c r="U17" s="97">
        <v>0.5</v>
      </c>
      <c r="V17" s="97">
        <v>1.4230979748221126</v>
      </c>
      <c r="W17" s="97">
        <f t="shared" si="5"/>
        <v>0.5</v>
      </c>
      <c r="X17" s="97">
        <v>9452.2803770028731</v>
      </c>
      <c r="Y17" s="97">
        <f>'Price &amp; GCV of fuels'!H17</f>
        <v>9194.3279999999995</v>
      </c>
      <c r="Z17" s="97">
        <f t="shared" si="6"/>
        <v>9194.3279999999995</v>
      </c>
      <c r="AA17" s="97">
        <v>3488.2881243084521</v>
      </c>
      <c r="AB17" s="97">
        <f>'Price &amp; GCV of fuels'!R17</f>
        <v>3120.22</v>
      </c>
      <c r="AC17" s="97">
        <f>'Price &amp; GCV of fuels'!T17</f>
        <v>3120.22</v>
      </c>
      <c r="AD17" s="97">
        <v>38723.956583596941</v>
      </c>
      <c r="AE17" s="97">
        <f>'Price &amp; GCV of fuels'!K17</f>
        <v>42080.033660508081</v>
      </c>
      <c r="AF17" s="97">
        <f t="shared" si="7"/>
        <v>42080.033660508081</v>
      </c>
      <c r="AG17" s="97">
        <v>5118.3470497199296</v>
      </c>
      <c r="AH17" s="97">
        <f>'Price &amp; GCV of fuels'!W17</f>
        <v>4111.5385564937214</v>
      </c>
      <c r="AI17" s="97">
        <f>'Price &amp; GCV of fuels'!Z17</f>
        <v>4118.1164051003261</v>
      </c>
      <c r="AJ17" s="97">
        <f t="shared" si="8"/>
        <v>0.67313920963446705</v>
      </c>
      <c r="AK17" s="97">
        <f t="shared" si="8"/>
        <v>0.75860819537254098</v>
      </c>
      <c r="AL17" s="97">
        <f t="shared" si="8"/>
        <v>0.75258555075052103</v>
      </c>
      <c r="AM17" s="124">
        <f t="shared" si="9"/>
        <v>3.7865814928690473</v>
      </c>
      <c r="AN17" s="124">
        <f t="shared" si="9"/>
        <v>3.5490193591634194</v>
      </c>
      <c r="AO17" s="124">
        <f t="shared" si="9"/>
        <v>3.410136524172064</v>
      </c>
      <c r="AP17" s="97">
        <f t="shared" si="10"/>
        <v>382.9522652301705</v>
      </c>
      <c r="AQ17" s="97">
        <f t="shared" si="10"/>
        <v>275.87556694391418</v>
      </c>
      <c r="AR17" s="97">
        <f t="shared" si="10"/>
        <v>270.78525821170035</v>
      </c>
      <c r="AT17" s="9">
        <f t="shared" si="11"/>
        <v>268.95935295112889</v>
      </c>
      <c r="AU17" s="9">
        <f t="shared" si="12"/>
        <v>1.8259052605715216</v>
      </c>
      <c r="AV17" s="13">
        <f t="shared" si="13"/>
        <v>270.78525821170041</v>
      </c>
      <c r="AX17" s="91">
        <v>270.7031611843417</v>
      </c>
    </row>
    <row r="18" spans="2:50" x14ac:dyDescent="0.35">
      <c r="B18" s="12" t="s">
        <v>27</v>
      </c>
      <c r="C18" s="7"/>
      <c r="D18" s="7"/>
      <c r="E18" s="7"/>
      <c r="F18" s="7"/>
      <c r="G18" s="7"/>
      <c r="H18" s="7"/>
      <c r="I18" s="98">
        <f>SUM(I5:I17)</f>
        <v>61042.679161600005</v>
      </c>
      <c r="J18" s="98">
        <f>SUM(J5:J17)</f>
        <v>48238.417999999998</v>
      </c>
      <c r="K18" s="98">
        <f>SUM(K5:K17)</f>
        <v>48238.417999999998</v>
      </c>
      <c r="L18" s="126">
        <f>SUMPRODUCT(I5:I17,L5:L17)/I18</f>
        <v>7.4463243779073651E-2</v>
      </c>
      <c r="M18" s="126">
        <f>SUMPRODUCT(J5:J17,M5:M17)/J18</f>
        <v>8.2194324226242288E-2</v>
      </c>
      <c r="N18" s="126">
        <f>SUMPRODUCT(K5:K17,N5:N17)/K18</f>
        <v>7.219215985586426E-2</v>
      </c>
      <c r="O18" s="98">
        <f>SUM(O5:O17)</f>
        <v>56497.243262261996</v>
      </c>
      <c r="P18" s="98">
        <f>SUM(P5:P17)</f>
        <v>44273.493830746986</v>
      </c>
      <c r="Q18" s="98">
        <f>SUM(Q5:Q17)</f>
        <v>44755.982416549996</v>
      </c>
      <c r="R18" s="98">
        <f>SUMPRODUCT(I5:I17,R5:R17)/I18</f>
        <v>2448.6740233611631</v>
      </c>
      <c r="S18" s="98">
        <f>SUMPRODUCT(J5:J17,S5:S17)/J18</f>
        <v>2439.851869075278</v>
      </c>
      <c r="T18" s="98">
        <f>SUMPRODUCT(K5:K17,T5:T17)/K18</f>
        <v>2429.8190889804955</v>
      </c>
      <c r="U18" s="98">
        <f>SUMPRODUCT(I5:I17,U5:U17)/I18</f>
        <v>1.0395879491134812</v>
      </c>
      <c r="V18" s="98">
        <f>SUMPRODUCT(J5:J17,V5:V17)/J18</f>
        <v>2.010834414180001</v>
      </c>
      <c r="W18" s="98">
        <f>SUMPRODUCT(K5:K17,W5:W17)/K18</f>
        <v>0.96106195874831557</v>
      </c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8">
        <f>SUM(AP5:AP17)</f>
        <v>16782.245402943841</v>
      </c>
      <c r="AQ18" s="98">
        <f>SUM(AQ5:AQ17)</f>
        <v>13819.904457009407</v>
      </c>
      <c r="AR18" s="98">
        <f>SUM(AR5:AR17)</f>
        <v>13399.733690824338</v>
      </c>
      <c r="AT18" s="98">
        <f t="shared" ref="AT18:AV18" si="14">SUM(AT5:AT17)</f>
        <v>13208.271648978103</v>
      </c>
      <c r="AU18" s="98">
        <f t="shared" si="14"/>
        <v>191.46204184623602</v>
      </c>
      <c r="AV18" s="98">
        <f t="shared" si="14"/>
        <v>13399.733690824338</v>
      </c>
      <c r="AX18" s="127">
        <f>SUM(AX5:AX17)</f>
        <v>13394.607755397403</v>
      </c>
    </row>
    <row r="19" spans="2:50" x14ac:dyDescent="0.35">
      <c r="AQ19" s="91">
        <f>AQ18*10/P18</f>
        <v>3.1214849475944861</v>
      </c>
    </row>
    <row r="20" spans="2:50" x14ac:dyDescent="0.35">
      <c r="B20" s="3" t="s">
        <v>289</v>
      </c>
    </row>
    <row r="21" spans="2:50" x14ac:dyDescent="0.35">
      <c r="B21" s="187" t="s">
        <v>170</v>
      </c>
      <c r="C21" s="187" t="s">
        <v>273</v>
      </c>
      <c r="D21" s="187"/>
      <c r="E21" s="187"/>
      <c r="F21" s="187" t="s">
        <v>274</v>
      </c>
      <c r="G21" s="187"/>
      <c r="H21" s="187"/>
      <c r="I21" s="187" t="s">
        <v>275</v>
      </c>
      <c r="J21" s="187"/>
      <c r="K21" s="187"/>
      <c r="L21" s="187" t="s">
        <v>276</v>
      </c>
      <c r="M21" s="187"/>
      <c r="N21" s="187"/>
      <c r="O21" s="187" t="s">
        <v>277</v>
      </c>
      <c r="P21" s="187"/>
      <c r="Q21" s="187"/>
      <c r="R21" s="187" t="s">
        <v>278</v>
      </c>
      <c r="S21" s="187"/>
      <c r="T21" s="187"/>
      <c r="U21" s="187" t="s">
        <v>279</v>
      </c>
      <c r="V21" s="187"/>
      <c r="W21" s="187"/>
      <c r="X21" s="187" t="s">
        <v>280</v>
      </c>
      <c r="Y21" s="187"/>
      <c r="Z21" s="187"/>
      <c r="AA21" s="187" t="s">
        <v>281</v>
      </c>
      <c r="AB21" s="187"/>
      <c r="AC21" s="187"/>
      <c r="AD21" s="187" t="s">
        <v>282</v>
      </c>
      <c r="AE21" s="187"/>
      <c r="AF21" s="187"/>
      <c r="AG21" s="187" t="s">
        <v>283</v>
      </c>
      <c r="AH21" s="187"/>
      <c r="AI21" s="187"/>
      <c r="AJ21" s="187" t="s">
        <v>284</v>
      </c>
      <c r="AK21" s="187"/>
      <c r="AL21" s="187"/>
      <c r="AM21" s="187" t="s">
        <v>285</v>
      </c>
      <c r="AN21" s="187"/>
      <c r="AO21" s="187"/>
      <c r="AP21" s="187" t="s">
        <v>286</v>
      </c>
      <c r="AQ21" s="187"/>
      <c r="AR21" s="187"/>
    </row>
    <row r="22" spans="2:50" ht="30" x14ac:dyDescent="0.35">
      <c r="B22" s="187"/>
      <c r="C22" s="96" t="s">
        <v>172</v>
      </c>
      <c r="D22" s="6" t="s">
        <v>237</v>
      </c>
      <c r="E22" s="6" t="s">
        <v>132</v>
      </c>
      <c r="F22" s="96" t="s">
        <v>172</v>
      </c>
      <c r="G22" s="6" t="s">
        <v>237</v>
      </c>
      <c r="H22" s="6" t="s">
        <v>132</v>
      </c>
      <c r="I22" s="96" t="s">
        <v>172</v>
      </c>
      <c r="J22" s="6" t="s">
        <v>237</v>
      </c>
      <c r="K22" s="6" t="s">
        <v>132</v>
      </c>
      <c r="L22" s="96" t="s">
        <v>172</v>
      </c>
      <c r="M22" s="6" t="s">
        <v>237</v>
      </c>
      <c r="N22" s="6" t="s">
        <v>132</v>
      </c>
      <c r="O22" s="96" t="s">
        <v>172</v>
      </c>
      <c r="P22" s="6" t="s">
        <v>237</v>
      </c>
      <c r="Q22" s="6" t="s">
        <v>132</v>
      </c>
      <c r="R22" s="96" t="s">
        <v>172</v>
      </c>
      <c r="S22" s="6" t="s">
        <v>237</v>
      </c>
      <c r="T22" s="6" t="s">
        <v>132</v>
      </c>
      <c r="U22" s="96" t="s">
        <v>172</v>
      </c>
      <c r="V22" s="6" t="s">
        <v>237</v>
      </c>
      <c r="W22" s="6" t="s">
        <v>132</v>
      </c>
      <c r="X22" s="96" t="s">
        <v>172</v>
      </c>
      <c r="Y22" s="6" t="s">
        <v>237</v>
      </c>
      <c r="Z22" s="6" t="s">
        <v>132</v>
      </c>
      <c r="AA22" s="96" t="s">
        <v>172</v>
      </c>
      <c r="AB22" s="6" t="s">
        <v>237</v>
      </c>
      <c r="AC22" s="6" t="s">
        <v>132</v>
      </c>
      <c r="AD22" s="96" t="s">
        <v>172</v>
      </c>
      <c r="AE22" s="6" t="s">
        <v>237</v>
      </c>
      <c r="AF22" s="6" t="s">
        <v>132</v>
      </c>
      <c r="AG22" s="96" t="s">
        <v>172</v>
      </c>
      <c r="AH22" s="6" t="s">
        <v>237</v>
      </c>
      <c r="AI22" s="6" t="s">
        <v>132</v>
      </c>
      <c r="AJ22" s="96" t="s">
        <v>172</v>
      </c>
      <c r="AK22" s="6" t="s">
        <v>237</v>
      </c>
      <c r="AL22" s="6" t="s">
        <v>132</v>
      </c>
      <c r="AM22" s="96" t="s">
        <v>172</v>
      </c>
      <c r="AN22" s="6" t="s">
        <v>237</v>
      </c>
      <c r="AO22" s="6" t="s">
        <v>132</v>
      </c>
      <c r="AP22" s="96" t="s">
        <v>172</v>
      </c>
      <c r="AQ22" s="6" t="s">
        <v>237</v>
      </c>
      <c r="AR22" s="6" t="s">
        <v>132</v>
      </c>
      <c r="AT22" s="12" t="s">
        <v>287</v>
      </c>
      <c r="AU22" s="12" t="s">
        <v>288</v>
      </c>
      <c r="AV22" s="7"/>
    </row>
    <row r="23" spans="2:50" x14ac:dyDescent="0.35">
      <c r="B23" s="7" t="s">
        <v>43</v>
      </c>
      <c r="C23" s="105">
        <v>0.8</v>
      </c>
      <c r="D23" s="105">
        <v>0.97107167092822444</v>
      </c>
      <c r="E23" s="105">
        <f>C23</f>
        <v>0.8</v>
      </c>
      <c r="F23" s="105">
        <v>0.70149500000000009</v>
      </c>
      <c r="G23" s="105">
        <v>0.12034</v>
      </c>
      <c r="H23" s="105"/>
      <c r="I23" s="97">
        <v>1290.470202</v>
      </c>
      <c r="J23" s="97">
        <v>228.77699999999999</v>
      </c>
      <c r="K23" s="97">
        <f>J23</f>
        <v>228.77699999999999</v>
      </c>
      <c r="L23" s="105">
        <v>0.1096</v>
      </c>
      <c r="M23" s="105">
        <v>0.17456361434934459</v>
      </c>
      <c r="N23" s="105">
        <f>L23</f>
        <v>0.1096</v>
      </c>
      <c r="O23" s="97">
        <f>I23*(1-L23)</f>
        <v>1149.0346678608</v>
      </c>
      <c r="P23" s="97">
        <f>J23*(1-M23)</f>
        <v>188.84085999999999</v>
      </c>
      <c r="Q23" s="97">
        <f>K23*(1-N23)</f>
        <v>203.70304079999997</v>
      </c>
      <c r="R23" s="97">
        <v>2787</v>
      </c>
      <c r="S23" s="97">
        <v>2782.4960205571365</v>
      </c>
      <c r="T23" s="97">
        <f>R23</f>
        <v>2787</v>
      </c>
      <c r="U23" s="97">
        <v>1.4</v>
      </c>
      <c r="V23" s="97">
        <v>2.0412891156016562</v>
      </c>
      <c r="W23" s="97">
        <f>U23</f>
        <v>1.4</v>
      </c>
      <c r="X23" s="97">
        <v>9830.5431413381302</v>
      </c>
      <c r="Y23" s="97">
        <f>'Price &amp; GCV of fuels'!H23</f>
        <v>9279.5034068522491</v>
      </c>
      <c r="Z23" s="97">
        <f>Y23</f>
        <v>9279.5034068522491</v>
      </c>
      <c r="AA23" s="97">
        <v>3889.9276719705053</v>
      </c>
      <c r="AB23" s="97">
        <f>'Price &amp; GCV of fuels'!X23</f>
        <v>3274.9259999999999</v>
      </c>
      <c r="AC23" s="97">
        <f>'Price &amp; GCV of fuels'!Z23</f>
        <v>3457.392289310148</v>
      </c>
      <c r="AD23" s="97">
        <v>39614.669393855111</v>
      </c>
      <c r="AE23" s="97">
        <f>'Price &amp; GCV of fuels'!K23</f>
        <v>40201.320615417571</v>
      </c>
      <c r="AF23" s="97">
        <f>AE23</f>
        <v>40201.320615417571</v>
      </c>
      <c r="AG23" s="97">
        <v>4812.0079181336077</v>
      </c>
      <c r="AH23" s="97">
        <f>'Price &amp; GCV of fuels'!AC23</f>
        <v>3754.7708157418747</v>
      </c>
      <c r="AI23" s="97">
        <f>'Price &amp; GCV of fuels'!AF23</f>
        <v>3755.7419046116161</v>
      </c>
      <c r="AJ23" s="97">
        <f>(R23-U23*X23/1000)/AA23</f>
        <v>0.71292771317706749</v>
      </c>
      <c r="AK23" s="97">
        <f>(S23-V23*Y23/1000)/AB23</f>
        <v>0.84385231032839836</v>
      </c>
      <c r="AL23" s="97">
        <f>(T23-W23*Z23/1000)/AC23</f>
        <v>0.80234132059798846</v>
      </c>
      <c r="AM23" s="124">
        <f>(AJ23*AG23/1000+U23*AD23/10^6)/(1-L23)</f>
        <v>3.9151778279608398</v>
      </c>
      <c r="AN23" s="124">
        <f>(AK23*AH23/1000+V23*AE23/10^6)/(1-M23)</f>
        <v>3.9379588813015984</v>
      </c>
      <c r="AO23" s="124">
        <f>(AL23*AI23/1000+W23*AF23/10^6)/(1-N23)</f>
        <v>3.4475165862902881</v>
      </c>
      <c r="AP23" s="97">
        <f>O23*AM23/10</f>
        <v>449.86750551669519</v>
      </c>
      <c r="AQ23" s="97">
        <f>P23*AN23/10</f>
        <v>74.364754178963182</v>
      </c>
      <c r="AR23" s="97">
        <f>Q23*AO23/10</f>
        <v>70.226961183576719</v>
      </c>
      <c r="AT23" s="9">
        <f>AL23*K23*AI23/10000</f>
        <v>68.939361929876057</v>
      </c>
      <c r="AU23" s="9">
        <f>W23*K23*AF23/10^7</f>
        <v>1.2875992537006737</v>
      </c>
      <c r="AV23" s="13">
        <f>SUM(AT23:AU23)</f>
        <v>70.226961183576734</v>
      </c>
      <c r="AX23" s="91">
        <v>70.226961183576734</v>
      </c>
    </row>
    <row r="24" spans="2:50" x14ac:dyDescent="0.35">
      <c r="B24" s="7" t="s">
        <v>150</v>
      </c>
      <c r="C24" s="105">
        <v>0.8</v>
      </c>
      <c r="D24" s="105">
        <v>0.65640510866606816</v>
      </c>
      <c r="E24" s="105">
        <f t="shared" ref="E24:E35" si="15">C24</f>
        <v>0.8</v>
      </c>
      <c r="F24" s="105">
        <v>0.67538500000000001</v>
      </c>
      <c r="G24" s="105">
        <v>0.54380700000000004</v>
      </c>
      <c r="H24" s="105"/>
      <c r="I24" s="97">
        <v>11359.435391999999</v>
      </c>
      <c r="J24" s="97">
        <v>9071.5590000000011</v>
      </c>
      <c r="K24" s="97">
        <f t="shared" ref="K24:K35" si="16">J24</f>
        <v>9071.5590000000011</v>
      </c>
      <c r="L24" s="105">
        <v>7.8E-2</v>
      </c>
      <c r="M24" s="105">
        <v>9.111592479308131E-2</v>
      </c>
      <c r="N24" s="105">
        <f t="shared" ref="N24:N35" si="17">L24</f>
        <v>7.8E-2</v>
      </c>
      <c r="O24" s="97">
        <f t="shared" ref="O24:Q35" si="18">I24*(1-L24)</f>
        <v>10473.399431424001</v>
      </c>
      <c r="P24" s="97">
        <f t="shared" si="18"/>
        <v>8244.9955124000007</v>
      </c>
      <c r="Q24" s="97">
        <f t="shared" si="18"/>
        <v>8363.9773980000009</v>
      </c>
      <c r="R24" s="97">
        <v>2688</v>
      </c>
      <c r="S24" s="97">
        <v>2632.0262169705634</v>
      </c>
      <c r="T24" s="97">
        <f t="shared" ref="T24:T35" si="19">R24</f>
        <v>2688</v>
      </c>
      <c r="U24" s="97">
        <v>1</v>
      </c>
      <c r="V24" s="97">
        <v>0.96666405410580469</v>
      </c>
      <c r="W24" s="97">
        <f t="shared" ref="W24:W35" si="20">U24</f>
        <v>1</v>
      </c>
      <c r="X24" s="97">
        <v>10333.74673749099</v>
      </c>
      <c r="Y24" s="97">
        <f>'Price &amp; GCV of fuels'!H24</f>
        <v>9517.0117366096256</v>
      </c>
      <c r="Z24" s="97">
        <f t="shared" ref="Z24:Z35" si="21">Y24</f>
        <v>9517.0117366096256</v>
      </c>
      <c r="AA24" s="97">
        <v>3624.1599251529537</v>
      </c>
      <c r="AB24" s="97">
        <f>'Price &amp; GCV of fuels'!X24</f>
        <v>3094</v>
      </c>
      <c r="AC24" s="97">
        <f>'Price &amp; GCV of fuels'!Z24</f>
        <v>3242</v>
      </c>
      <c r="AD24" s="97">
        <v>44410.708373185909</v>
      </c>
      <c r="AE24" s="97">
        <f>'Price &amp; GCV of fuels'!K24</f>
        <v>34759.987817954912</v>
      </c>
      <c r="AF24" s="97">
        <f t="shared" ref="AF24:AF35" si="22">AE24</f>
        <v>34759.987817954912</v>
      </c>
      <c r="AG24" s="97">
        <v>3108.8512433863989</v>
      </c>
      <c r="AH24" s="97">
        <f>'Price &amp; GCV of fuels'!AC24</f>
        <v>3262.1199903880074</v>
      </c>
      <c r="AI24" s="97">
        <f>'Price &amp; GCV of fuels'!AF24</f>
        <v>3273.8920294378026</v>
      </c>
      <c r="AJ24" s="97">
        <f t="shared" ref="AJ24:AL35" si="23">(R24-U24*X24/1000)/AA24</f>
        <v>0.73883777442561427</v>
      </c>
      <c r="AK24" s="97">
        <f t="shared" si="23"/>
        <v>0.84771378921211371</v>
      </c>
      <c r="AL24" s="97">
        <f t="shared" si="23"/>
        <v>0.82618229125952813</v>
      </c>
      <c r="AM24" s="124">
        <f t="shared" ref="AM24:AO35" si="24">(AJ24*AG24/1000+U24*AD24/10^6)/(1-L24)</f>
        <v>2.5394223883482607</v>
      </c>
      <c r="AN24" s="124">
        <f t="shared" si="24"/>
        <v>3.0795405101843811</v>
      </c>
      <c r="AO24" s="124">
        <f t="shared" si="24"/>
        <v>2.9713574902767732</v>
      </c>
      <c r="AP24" s="97">
        <f t="shared" ref="AP24:AR35" si="25">O24*AM24/10</f>
        <v>2659.6384998272051</v>
      </c>
      <c r="AQ24" s="97">
        <f t="shared" si="25"/>
        <v>2539.0797686724231</v>
      </c>
      <c r="AR24" s="97">
        <f t="shared" si="25"/>
        <v>2485.2366890052936</v>
      </c>
      <c r="AT24" s="9">
        <f t="shared" ref="AT24:AT35" si="26">AL24*K24*AI24/10000</f>
        <v>2453.7039609723083</v>
      </c>
      <c r="AU24" s="9">
        <f t="shared" ref="AU24:AU35" si="27">W24*K24*AF24/10^7</f>
        <v>31.532728032985926</v>
      </c>
      <c r="AV24" s="13">
        <f t="shared" ref="AV24:AV35" si="28">SUM(AT24:AU24)</f>
        <v>2485.2366890052945</v>
      </c>
      <c r="AX24" s="91">
        <v>2487.0080252275025</v>
      </c>
    </row>
    <row r="25" spans="2:50" x14ac:dyDescent="0.35">
      <c r="B25" s="7" t="s">
        <v>151</v>
      </c>
      <c r="C25" s="105">
        <v>0.85</v>
      </c>
      <c r="D25" s="105">
        <v>0.75791047770979547</v>
      </c>
      <c r="E25" s="105">
        <f t="shared" si="15"/>
        <v>0.85</v>
      </c>
      <c r="F25" s="105">
        <v>0.67230048889184746</v>
      </c>
      <c r="G25" s="105">
        <v>0.690006533666084</v>
      </c>
      <c r="H25" s="105"/>
      <c r="I25" s="97">
        <v>4947.0559174617702</v>
      </c>
      <c r="J25" s="97">
        <v>4908.9679999999998</v>
      </c>
      <c r="K25" s="97">
        <f t="shared" si="16"/>
        <v>4908.9679999999998</v>
      </c>
      <c r="L25" s="105">
        <v>9.7000000000000003E-2</v>
      </c>
      <c r="M25" s="105">
        <v>9.9367932323046304E-2</v>
      </c>
      <c r="N25" s="105">
        <f t="shared" si="17"/>
        <v>9.7000000000000003E-2</v>
      </c>
      <c r="O25" s="97">
        <f t="shared" si="18"/>
        <v>4467.1914934679789</v>
      </c>
      <c r="P25" s="97">
        <f t="shared" si="18"/>
        <v>4421.174</v>
      </c>
      <c r="Q25" s="97">
        <f t="shared" si="18"/>
        <v>4432.7981040000004</v>
      </c>
      <c r="R25" s="97">
        <v>2630</v>
      </c>
      <c r="S25" s="97">
        <v>2643.7795106051885</v>
      </c>
      <c r="T25" s="97">
        <f t="shared" si="19"/>
        <v>2630</v>
      </c>
      <c r="U25" s="97">
        <v>1.2</v>
      </c>
      <c r="V25" s="97">
        <v>2.1426418083859797</v>
      </c>
      <c r="W25" s="97">
        <f t="shared" si="20"/>
        <v>1.2</v>
      </c>
      <c r="X25" s="97">
        <v>10475.928630431306</v>
      </c>
      <c r="Y25" s="97">
        <f>'Price &amp; GCV of fuels'!H25</f>
        <v>9670.4247304318287</v>
      </c>
      <c r="Z25" s="97">
        <f t="shared" si="21"/>
        <v>9670.4247304318287</v>
      </c>
      <c r="AA25" s="97">
        <v>3493.6815221031266</v>
      </c>
      <c r="AB25" s="97">
        <f>'Price &amp; GCV of fuels'!X25</f>
        <v>2919.89</v>
      </c>
      <c r="AC25" s="97">
        <f>'Price &amp; GCV of fuels'!Z25</f>
        <v>2947.17</v>
      </c>
      <c r="AD25" s="97">
        <v>45479.392927916342</v>
      </c>
      <c r="AE25" s="97">
        <f>'Price &amp; GCV of fuels'!K25</f>
        <v>40915.910727867245</v>
      </c>
      <c r="AF25" s="97">
        <f t="shared" si="22"/>
        <v>40915.910727867245</v>
      </c>
      <c r="AG25" s="97">
        <v>3312.1479309851593</v>
      </c>
      <c r="AH25" s="97">
        <f>'Price &amp; GCV of fuels'!AC25</f>
        <v>3005.4464118127594</v>
      </c>
      <c r="AI25" s="97">
        <f>'Price &amp; GCV of fuels'!AF25</f>
        <v>2995.8523126744685</v>
      </c>
      <c r="AJ25" s="97">
        <f t="shared" si="23"/>
        <v>0.74918932051592457</v>
      </c>
      <c r="AK25" s="97">
        <f t="shared" si="23"/>
        <v>0.89834180543544984</v>
      </c>
      <c r="AL25" s="97">
        <f t="shared" si="23"/>
        <v>0.88844399553588072</v>
      </c>
      <c r="AM25" s="124">
        <f t="shared" si="24"/>
        <v>2.808417640505533</v>
      </c>
      <c r="AN25" s="124">
        <f t="shared" si="24"/>
        <v>3.0951443955035365</v>
      </c>
      <c r="AO25" s="124">
        <f t="shared" si="24"/>
        <v>3.0019336562362722</v>
      </c>
      <c r="AP25" s="97">
        <f t="shared" si="25"/>
        <v>1254.573939377173</v>
      </c>
      <c r="AQ25" s="97">
        <f t="shared" si="25"/>
        <v>1368.4171927645953</v>
      </c>
      <c r="AR25" s="97">
        <f t="shared" si="25"/>
        <v>1330.6965819697937</v>
      </c>
      <c r="AT25" s="9">
        <f t="shared" si="26"/>
        <v>1306.593994395319</v>
      </c>
      <c r="AU25" s="9">
        <f t="shared" si="27"/>
        <v>24.102587574474843</v>
      </c>
      <c r="AV25" s="13">
        <f t="shared" si="28"/>
        <v>1330.6965819697939</v>
      </c>
      <c r="AX25" s="91">
        <v>1330.6965819697937</v>
      </c>
    </row>
    <row r="26" spans="2:50" x14ac:dyDescent="0.35">
      <c r="B26" s="7" t="s">
        <v>44</v>
      </c>
      <c r="C26" s="105">
        <v>0.72</v>
      </c>
      <c r="D26" s="105">
        <v>0.76726002601338994</v>
      </c>
      <c r="E26" s="105">
        <f t="shared" si="15"/>
        <v>0.72</v>
      </c>
      <c r="F26" s="105">
        <v>0.35617997230969733</v>
      </c>
      <c r="G26" s="105">
        <v>0.12940055856636401</v>
      </c>
      <c r="H26" s="105"/>
      <c r="I26" s="97">
        <v>1310.4573541218385</v>
      </c>
      <c r="J26" s="97">
        <v>465.68799999999999</v>
      </c>
      <c r="K26" s="97">
        <f t="shared" si="16"/>
        <v>465.68799999999999</v>
      </c>
      <c r="L26" s="105">
        <v>0.1081</v>
      </c>
      <c r="M26" s="105">
        <v>0.14443761230695229</v>
      </c>
      <c r="N26" s="105">
        <f t="shared" si="17"/>
        <v>0.1081</v>
      </c>
      <c r="O26" s="97">
        <f t="shared" si="18"/>
        <v>1168.7969141412677</v>
      </c>
      <c r="P26" s="97">
        <f t="shared" si="18"/>
        <v>398.42513719999999</v>
      </c>
      <c r="Q26" s="97">
        <f t="shared" si="18"/>
        <v>415.34712719999999</v>
      </c>
      <c r="R26" s="97">
        <v>2622</v>
      </c>
      <c r="S26" s="97">
        <v>2964.021385296292</v>
      </c>
      <c r="T26" s="97">
        <f t="shared" si="19"/>
        <v>2622</v>
      </c>
      <c r="U26" s="97">
        <v>2.81</v>
      </c>
      <c r="V26" s="97">
        <v>9.0797701465358784</v>
      </c>
      <c r="W26" s="97">
        <f t="shared" si="20"/>
        <v>2.81</v>
      </c>
      <c r="X26" s="97">
        <v>10328.102863339926</v>
      </c>
      <c r="Y26" s="97">
        <f>'Price &amp; GCV of fuels'!H26</f>
        <v>9516.4012990582578</v>
      </c>
      <c r="Z26" s="97">
        <f t="shared" si="21"/>
        <v>9516.4012990582578</v>
      </c>
      <c r="AA26" s="97">
        <v>3701.526206820095</v>
      </c>
      <c r="AB26" s="97">
        <f>'Price &amp; GCV of fuels'!X26</f>
        <v>2926.9344829471365</v>
      </c>
      <c r="AC26" s="97">
        <f>'Price &amp; GCV of fuels'!Z26</f>
        <v>3212</v>
      </c>
      <c r="AD26" s="97">
        <v>46593.915633367069</v>
      </c>
      <c r="AE26" s="97">
        <f>'Price &amp; GCV of fuels'!K26</f>
        <v>35323.113397769863</v>
      </c>
      <c r="AF26" s="97">
        <f t="shared" si="22"/>
        <v>35323.113397769863</v>
      </c>
      <c r="AG26" s="97">
        <v>3805.4958490548438</v>
      </c>
      <c r="AH26" s="97">
        <f>'Price &amp; GCV of fuels'!AC26</f>
        <v>3294.4790587832558</v>
      </c>
      <c r="AI26" s="97">
        <f>'Price &amp; GCV of fuels'!AF26</f>
        <v>3296.0424729825731</v>
      </c>
      <c r="AJ26" s="97">
        <f t="shared" si="23"/>
        <v>0.70051591858958873</v>
      </c>
      <c r="AK26" s="97">
        <f t="shared" si="23"/>
        <v>0.98314966243493473</v>
      </c>
      <c r="AL26" s="97">
        <f t="shared" si="23"/>
        <v>0.80798845340898084</v>
      </c>
      <c r="AM26" s="124">
        <f t="shared" si="24"/>
        <v>3.1357095227259584</v>
      </c>
      <c r="AN26" s="124">
        <f t="shared" si="24"/>
        <v>4.1606454143594389</v>
      </c>
      <c r="AO26" s="124">
        <f t="shared" si="24"/>
        <v>3.0972331077062845</v>
      </c>
      <c r="AP26" s="97">
        <f t="shared" si="25"/>
        <v>366.50076138054874</v>
      </c>
      <c r="AQ26" s="97">
        <f t="shared" si="25"/>
        <v>165.77057200567103</v>
      </c>
      <c r="AR26" s="97">
        <f t="shared" si="25"/>
        <v>128.64268735545335</v>
      </c>
      <c r="AT26" s="9">
        <f t="shared" si="26"/>
        <v>124.02036379646678</v>
      </c>
      <c r="AU26" s="9">
        <f t="shared" si="27"/>
        <v>4.6223235589865634</v>
      </c>
      <c r="AV26" s="13">
        <f t="shared" si="28"/>
        <v>128.64268735545335</v>
      </c>
      <c r="AX26" s="91">
        <v>128.64268735545335</v>
      </c>
    </row>
    <row r="27" spans="2:50" x14ac:dyDescent="0.35">
      <c r="B27" s="7" t="s">
        <v>152</v>
      </c>
      <c r="C27" s="105">
        <v>0.8</v>
      </c>
      <c r="D27" s="105">
        <v>0.95021630273332891</v>
      </c>
      <c r="E27" s="105">
        <f t="shared" si="15"/>
        <v>0.8</v>
      </c>
      <c r="F27" s="105">
        <v>0.8</v>
      </c>
      <c r="G27" s="105">
        <v>0.13356273102848445</v>
      </c>
      <c r="H27" s="105"/>
      <c r="I27" s="97">
        <v>4415.04</v>
      </c>
      <c r="J27" s="97">
        <v>737.10599999999999</v>
      </c>
      <c r="K27" s="97">
        <f t="shared" si="16"/>
        <v>737.10599999999999</v>
      </c>
      <c r="L27" s="105">
        <v>0.1075</v>
      </c>
      <c r="M27" s="105">
        <v>0.12904826239373979</v>
      </c>
      <c r="N27" s="105">
        <f t="shared" si="17"/>
        <v>0.1075</v>
      </c>
      <c r="O27" s="97">
        <f t="shared" si="18"/>
        <v>3940.4231999999997</v>
      </c>
      <c r="P27" s="97">
        <f t="shared" si="18"/>
        <v>641.98375150000004</v>
      </c>
      <c r="Q27" s="97">
        <f t="shared" si="18"/>
        <v>657.86710499999992</v>
      </c>
      <c r="R27" s="97">
        <v>2754</v>
      </c>
      <c r="S27" s="97">
        <v>2838.5621466606995</v>
      </c>
      <c r="T27" s="97">
        <f t="shared" si="19"/>
        <v>2754</v>
      </c>
      <c r="U27" s="97">
        <v>1</v>
      </c>
      <c r="V27" s="97">
        <v>1.0554791305456745</v>
      </c>
      <c r="W27" s="97">
        <f t="shared" si="20"/>
        <v>1</v>
      </c>
      <c r="X27" s="97">
        <v>10446.381585279727</v>
      </c>
      <c r="Y27" s="97">
        <f>'Price &amp; GCV of fuels'!H27</f>
        <v>9710.3801455984012</v>
      </c>
      <c r="Z27" s="97">
        <f t="shared" si="21"/>
        <v>9710.3801455984012</v>
      </c>
      <c r="AA27" s="97">
        <v>3927.803159571718</v>
      </c>
      <c r="AB27" s="97">
        <f>'Price &amp; GCV of fuels'!X27</f>
        <v>3239.5693049035726</v>
      </c>
      <c r="AC27" s="97">
        <f>'Price &amp; GCV of fuels'!Z27</f>
        <v>3386</v>
      </c>
      <c r="AD27" s="97">
        <v>42879.864272962048</v>
      </c>
      <c r="AE27" s="97">
        <f>'Price &amp; GCV of fuels'!K27</f>
        <v>42245.6832294216</v>
      </c>
      <c r="AF27" s="97">
        <f t="shared" si="22"/>
        <v>42245.6832294216</v>
      </c>
      <c r="AG27" s="97">
        <v>4275.63419193151</v>
      </c>
      <c r="AH27" s="97">
        <f>'Price &amp; GCV of fuels'!AC27</f>
        <v>4040.17</v>
      </c>
      <c r="AI27" s="97">
        <f>'Price &amp; GCV of fuels'!AF27</f>
        <v>4041.7960503672471</v>
      </c>
      <c r="AJ27" s="97">
        <f t="shared" si="23"/>
        <v>0.69849570025649488</v>
      </c>
      <c r="AK27" s="97">
        <f t="shared" si="23"/>
        <v>0.8730521797407701</v>
      </c>
      <c r="AL27" s="97">
        <f t="shared" si="23"/>
        <v>0.81048128170537559</v>
      </c>
      <c r="AM27" s="124">
        <f t="shared" si="24"/>
        <v>3.3942767094753785</v>
      </c>
      <c r="AN27" s="124">
        <f t="shared" si="24"/>
        <v>4.1011097490253068</v>
      </c>
      <c r="AO27" s="124">
        <f t="shared" si="24"/>
        <v>3.7176982930227376</v>
      </c>
      <c r="AP27" s="97">
        <f t="shared" si="25"/>
        <v>1337.488669323644</v>
      </c>
      <c r="AQ27" s="97">
        <f t="shared" si="25"/>
        <v>263.28458219924903</v>
      </c>
      <c r="AR27" s="97">
        <f t="shared" si="25"/>
        <v>244.57514132943098</v>
      </c>
      <c r="AT27" s="9">
        <f t="shared" si="26"/>
        <v>241.46118667118037</v>
      </c>
      <c r="AU27" s="9">
        <f t="shared" si="27"/>
        <v>3.1139546582506039</v>
      </c>
      <c r="AV27" s="13">
        <f t="shared" si="28"/>
        <v>244.57514132943098</v>
      </c>
      <c r="AX27" s="91">
        <v>244.57514132943092</v>
      </c>
    </row>
    <row r="28" spans="2:50" x14ac:dyDescent="0.35">
      <c r="B28" s="7" t="s">
        <v>154</v>
      </c>
      <c r="C28" s="105">
        <v>0.85</v>
      </c>
      <c r="D28" s="105">
        <v>0.34387392751853113</v>
      </c>
      <c r="E28" s="105">
        <f t="shared" si="15"/>
        <v>0.85</v>
      </c>
      <c r="F28" s="105">
        <v>0.50811666666666666</v>
      </c>
      <c r="G28" s="105">
        <v>0.34399999999999997</v>
      </c>
      <c r="H28" s="105"/>
      <c r="I28" s="97">
        <v>2991.1405440000003</v>
      </c>
      <c r="J28" s="97">
        <v>2007.9750000000004</v>
      </c>
      <c r="K28" s="97">
        <f t="shared" si="16"/>
        <v>2007.9750000000004</v>
      </c>
      <c r="L28" s="105">
        <v>3.1E-2</v>
      </c>
      <c r="M28" s="105">
        <v>2.848989653755649E-2</v>
      </c>
      <c r="N28" s="105">
        <f t="shared" si="17"/>
        <v>3.1E-2</v>
      </c>
      <c r="O28" s="97">
        <f t="shared" si="18"/>
        <v>2898.4151871360004</v>
      </c>
      <c r="P28" s="97">
        <f t="shared" si="18"/>
        <v>1950.7680000000003</v>
      </c>
      <c r="Q28" s="97">
        <f t="shared" si="18"/>
        <v>1945.7277750000003</v>
      </c>
      <c r="R28" s="97">
        <v>2035</v>
      </c>
      <c r="S28" s="97">
        <v>2088.3007612529709</v>
      </c>
      <c r="T28" s="97">
        <f t="shared" si="19"/>
        <v>2035</v>
      </c>
      <c r="U28" s="97"/>
      <c r="V28" s="97"/>
      <c r="W28" s="97"/>
      <c r="X28" s="97"/>
      <c r="Y28" s="97">
        <f>'Price &amp; GCV of fuels'!H28</f>
        <v>0</v>
      </c>
      <c r="Z28" s="97">
        <f t="shared" si="21"/>
        <v>0</v>
      </c>
      <c r="AA28" s="97">
        <v>8365.74</v>
      </c>
      <c r="AB28" s="97">
        <f>'Price &amp; GCV of fuels'!X28</f>
        <v>8556.0215442235021</v>
      </c>
      <c r="AC28" s="97">
        <f>'Price &amp; GCV of fuels'!Z28</f>
        <v>8556.0215442235021</v>
      </c>
      <c r="AD28" s="97"/>
      <c r="AE28" s="97">
        <f>'Price &amp; GCV of fuels'!K28</f>
        <v>0</v>
      </c>
      <c r="AF28" s="97">
        <f t="shared" si="22"/>
        <v>0</v>
      </c>
      <c r="AG28" s="97">
        <v>10688.229758062713</v>
      </c>
      <c r="AH28" s="97">
        <f>'Price &amp; GCV of fuels'!AC28</f>
        <v>6177.9138888999996</v>
      </c>
      <c r="AI28" s="97">
        <f>'Price &amp; GCV of fuels'!AF28</f>
        <v>6177.9138888999996</v>
      </c>
      <c r="AJ28" s="97">
        <f t="shared" si="23"/>
        <v>0.2432540337136942</v>
      </c>
      <c r="AK28" s="97">
        <f t="shared" si="23"/>
        <v>0.24407380818984295</v>
      </c>
      <c r="AL28" s="97">
        <f t="shared" si="23"/>
        <v>0.23784418838612048</v>
      </c>
      <c r="AM28" s="124">
        <f t="shared" si="24"/>
        <v>2.6831320969117614</v>
      </c>
      <c r="AN28" s="124">
        <f t="shared" si="24"/>
        <v>1.5520857314388561</v>
      </c>
      <c r="AO28" s="124">
        <f t="shared" si="24"/>
        <v>1.5163889729873701</v>
      </c>
      <c r="AP28" s="97">
        <f t="shared" si="25"/>
        <v>777.68308187811112</v>
      </c>
      <c r="AQ28" s="97">
        <f t="shared" si="25"/>
        <v>302.77591781475149</v>
      </c>
      <c r="AR28" s="97">
        <f t="shared" si="25"/>
        <v>295.04801424452512</v>
      </c>
      <c r="AT28" s="9">
        <f t="shared" si="26"/>
        <v>295.04801424452512</v>
      </c>
      <c r="AU28" s="9">
        <f t="shared" si="27"/>
        <v>0</v>
      </c>
      <c r="AV28" s="13">
        <f t="shared" si="28"/>
        <v>295.04801424452512</v>
      </c>
      <c r="AX28" s="91">
        <v>295.04801424452512</v>
      </c>
    </row>
    <row r="29" spans="2:50" x14ac:dyDescent="0.35">
      <c r="B29" s="7" t="s">
        <v>155</v>
      </c>
      <c r="C29" s="105">
        <v>0.85</v>
      </c>
      <c r="D29" s="105">
        <v>0.82955447828261375</v>
      </c>
      <c r="E29" s="105">
        <f t="shared" si="15"/>
        <v>0.85</v>
      </c>
      <c r="F29" s="105">
        <v>0.79890833333333344</v>
      </c>
      <c r="G29" s="105">
        <v>0.77288999999999997</v>
      </c>
      <c r="H29" s="105"/>
      <c r="I29" s="97">
        <v>3499.2185000000004</v>
      </c>
      <c r="J29" s="97">
        <v>3368.806</v>
      </c>
      <c r="K29" s="97">
        <f t="shared" si="16"/>
        <v>3368.806</v>
      </c>
      <c r="L29" s="105">
        <v>9.2999999999999999E-2</v>
      </c>
      <c r="M29" s="105">
        <v>0.10528115450993616</v>
      </c>
      <c r="N29" s="105">
        <f t="shared" si="17"/>
        <v>9.2999999999999999E-2</v>
      </c>
      <c r="O29" s="97">
        <f t="shared" si="18"/>
        <v>3173.7911795000005</v>
      </c>
      <c r="P29" s="97">
        <f t="shared" si="18"/>
        <v>3014.134215</v>
      </c>
      <c r="Q29" s="97">
        <f t="shared" si="18"/>
        <v>3055.5070420000002</v>
      </c>
      <c r="R29" s="97">
        <v>2430</v>
      </c>
      <c r="S29" s="97">
        <v>2451.0059626417715</v>
      </c>
      <c r="T29" s="97">
        <f t="shared" si="19"/>
        <v>2430</v>
      </c>
      <c r="U29" s="97">
        <v>0.5</v>
      </c>
      <c r="V29" s="97">
        <v>1.3084110512745464</v>
      </c>
      <c r="W29" s="97">
        <f t="shared" si="20"/>
        <v>0.5</v>
      </c>
      <c r="X29" s="97">
        <v>10446.381585279727</v>
      </c>
      <c r="Y29" s="97">
        <f>'Price &amp; GCV of fuels'!H29</f>
        <v>9371.1078707602737</v>
      </c>
      <c r="Z29" s="97">
        <f t="shared" si="21"/>
        <v>9371.1078707602737</v>
      </c>
      <c r="AA29" s="97">
        <v>3450.4021434617603</v>
      </c>
      <c r="AB29" s="97">
        <f>'Price &amp; GCV of fuels'!X29</f>
        <v>3127</v>
      </c>
      <c r="AC29" s="97">
        <f>'Price &amp; GCV of fuels'!Z29</f>
        <v>3170</v>
      </c>
      <c r="AD29" s="97">
        <v>40463.606374303999</v>
      </c>
      <c r="AE29" s="97">
        <f>'Price &amp; GCV of fuels'!K29</f>
        <v>34269.024250966992</v>
      </c>
      <c r="AF29" s="97">
        <f t="shared" si="22"/>
        <v>34269.024250966992</v>
      </c>
      <c r="AG29" s="97">
        <v>3829.2880996954991</v>
      </c>
      <c r="AH29" s="97">
        <f>'Price &amp; GCV of fuels'!AC29</f>
        <v>3565.9307115515412</v>
      </c>
      <c r="AI29" s="97">
        <f>'Price &amp; GCV of fuels'!AF29</f>
        <v>3566.6375477966435</v>
      </c>
      <c r="AJ29" s="97">
        <f t="shared" si="23"/>
        <v>0.70275194264011254</v>
      </c>
      <c r="AK29" s="97">
        <f t="shared" si="23"/>
        <v>0.77989916902493861</v>
      </c>
      <c r="AL29" s="97">
        <f t="shared" si="23"/>
        <v>0.76508342147148889</v>
      </c>
      <c r="AM29" s="124">
        <f t="shared" si="24"/>
        <v>2.9892739296326667</v>
      </c>
      <c r="AN29" s="124">
        <f t="shared" si="24"/>
        <v>3.1584272344661355</v>
      </c>
      <c r="AO29" s="124">
        <f t="shared" si="24"/>
        <v>3.0274639143797355</v>
      </c>
      <c r="AP29" s="97">
        <f t="shared" si="25"/>
        <v>948.73312309774633</v>
      </c>
      <c r="AQ29" s="97">
        <f t="shared" si="25"/>
        <v>951.99235929922065</v>
      </c>
      <c r="AR29" s="97">
        <f t="shared" si="25"/>
        <v>925.04373097881671</v>
      </c>
      <c r="AT29" s="9">
        <f t="shared" si="26"/>
        <v>919.27144625327662</v>
      </c>
      <c r="AU29" s="9">
        <f t="shared" si="27"/>
        <v>5.772284725540155</v>
      </c>
      <c r="AV29" s="13">
        <f t="shared" si="28"/>
        <v>925.04373097881682</v>
      </c>
      <c r="AX29" s="91">
        <v>925.04373097881705</v>
      </c>
    </row>
    <row r="30" spans="2:50" x14ac:dyDescent="0.35">
      <c r="B30" s="7" t="s">
        <v>156</v>
      </c>
      <c r="C30" s="105">
        <v>0.85</v>
      </c>
      <c r="D30" s="105">
        <v>0.97167205322851513</v>
      </c>
      <c r="E30" s="105">
        <f t="shared" si="15"/>
        <v>0.85</v>
      </c>
      <c r="F30" s="105">
        <v>0.7874633333333334</v>
      </c>
      <c r="G30" s="105">
        <v>0.316</v>
      </c>
      <c r="H30" s="105"/>
      <c r="I30" s="97">
        <v>3449.0894000000003</v>
      </c>
      <c r="J30" s="97">
        <v>1411.6479999999999</v>
      </c>
      <c r="K30" s="97">
        <f t="shared" si="16"/>
        <v>1411.6479999999999</v>
      </c>
      <c r="L30" s="105">
        <v>9.2999999999999999E-2</v>
      </c>
      <c r="M30" s="105">
        <v>0.11670412543155519</v>
      </c>
      <c r="N30" s="105">
        <f t="shared" si="17"/>
        <v>9.2999999999999999E-2</v>
      </c>
      <c r="O30" s="97">
        <f t="shared" si="18"/>
        <v>3128.3240858000004</v>
      </c>
      <c r="P30" s="97">
        <f t="shared" si="18"/>
        <v>1246.9028547427959</v>
      </c>
      <c r="Q30" s="97">
        <f t="shared" si="18"/>
        <v>1280.364736</v>
      </c>
      <c r="R30" s="97">
        <v>2430</v>
      </c>
      <c r="S30" s="97">
        <v>2395.1508319999998</v>
      </c>
      <c r="T30" s="97">
        <f t="shared" si="19"/>
        <v>2430</v>
      </c>
      <c r="U30" s="97">
        <v>0.5</v>
      </c>
      <c r="V30" s="97">
        <v>1.7188548420002721</v>
      </c>
      <c r="W30" s="97">
        <f t="shared" si="20"/>
        <v>0.5</v>
      </c>
      <c r="X30" s="97">
        <v>10346</v>
      </c>
      <c r="Y30" s="97">
        <f>'Price &amp; GCV of fuels'!H30</f>
        <v>9473.9213311346175</v>
      </c>
      <c r="Z30" s="97">
        <f t="shared" si="21"/>
        <v>9473.9213311346175</v>
      </c>
      <c r="AA30" s="97">
        <v>3192.6221241789522</v>
      </c>
      <c r="AB30" s="97">
        <f>'Price &amp; GCV of fuels'!X30</f>
        <v>3214</v>
      </c>
      <c r="AC30" s="97">
        <f>'Price &amp; GCV of fuels'!Z30</f>
        <v>3214</v>
      </c>
      <c r="AD30" s="97">
        <v>41523.035933379972</v>
      </c>
      <c r="AE30" s="97">
        <f>'Price &amp; GCV of fuels'!K30</f>
        <v>46371.2760176343</v>
      </c>
      <c r="AF30" s="97">
        <f t="shared" si="22"/>
        <v>46371.2760176343</v>
      </c>
      <c r="AG30" s="97">
        <v>4749.1915047136736</v>
      </c>
      <c r="AH30" s="97">
        <f>'Price &amp; GCV of fuels'!AC30</f>
        <v>4147.8718875114473</v>
      </c>
      <c r="AI30" s="97">
        <f>'Price &amp; GCV of fuels'!AF30</f>
        <v>4158.2670820398662</v>
      </c>
      <c r="AJ30" s="97">
        <f t="shared" si="23"/>
        <v>0.75950955223790972</v>
      </c>
      <c r="AK30" s="97">
        <f t="shared" si="23"/>
        <v>0.7401576031260888</v>
      </c>
      <c r="AL30" s="97">
        <f t="shared" si="23"/>
        <v>0.75459335386883397</v>
      </c>
      <c r="AM30" s="124">
        <f t="shared" si="24"/>
        <v>3.9997991523747047</v>
      </c>
      <c r="AN30" s="124">
        <f t="shared" si="24"/>
        <v>3.5659448858923999</v>
      </c>
      <c r="AO30" s="124">
        <f t="shared" si="24"/>
        <v>3.4851007075277276</v>
      </c>
      <c r="AP30" s="97">
        <f t="shared" si="25"/>
        <v>1251.2668026736214</v>
      </c>
      <c r="AQ30" s="97">
        <f t="shared" si="25"/>
        <v>444.63868580747067</v>
      </c>
      <c r="AR30" s="97">
        <f t="shared" si="25"/>
        <v>446.22000473271521</v>
      </c>
      <c r="AT30" s="9">
        <f t="shared" si="26"/>
        <v>442.94700878032819</v>
      </c>
      <c r="AU30" s="9">
        <f t="shared" si="27"/>
        <v>3.2729959523870709</v>
      </c>
      <c r="AV30" s="13">
        <f t="shared" si="28"/>
        <v>446.22000473271527</v>
      </c>
      <c r="AX30" s="91">
        <v>446.22000473271532</v>
      </c>
    </row>
    <row r="31" spans="2:50" x14ac:dyDescent="0.35">
      <c r="B31" s="7" t="s">
        <v>8</v>
      </c>
      <c r="C31" s="105">
        <v>0.85</v>
      </c>
      <c r="D31" s="105">
        <v>0.74082265678888426</v>
      </c>
      <c r="E31" s="105">
        <f t="shared" si="15"/>
        <v>0.85</v>
      </c>
      <c r="F31" s="105">
        <v>0.81423156980454459</v>
      </c>
      <c r="G31" s="105">
        <v>0.690006533666084</v>
      </c>
      <c r="H31" s="105"/>
      <c r="I31" s="97">
        <v>3566.3342757439054</v>
      </c>
      <c r="J31" s="97">
        <v>3021.8770000000004</v>
      </c>
      <c r="K31" s="97">
        <f t="shared" si="16"/>
        <v>3021.8770000000004</v>
      </c>
      <c r="L31" s="105">
        <v>0.06</v>
      </c>
      <c r="M31" s="105">
        <v>5.9890624135264275E-2</v>
      </c>
      <c r="N31" s="105">
        <f t="shared" si="17"/>
        <v>0.06</v>
      </c>
      <c r="O31" s="97">
        <f t="shared" si="18"/>
        <v>3352.354219199271</v>
      </c>
      <c r="P31" s="97">
        <f t="shared" si="18"/>
        <v>2840.8949004100004</v>
      </c>
      <c r="Q31" s="97">
        <f t="shared" si="18"/>
        <v>2840.5643800000003</v>
      </c>
      <c r="R31" s="97">
        <v>2375</v>
      </c>
      <c r="S31" s="97">
        <v>2376.1931379320067</v>
      </c>
      <c r="T31" s="97">
        <f t="shared" si="19"/>
        <v>2375</v>
      </c>
      <c r="U31" s="97">
        <v>0.5</v>
      </c>
      <c r="V31" s="97">
        <v>0.46574033291229255</v>
      </c>
      <c r="W31" s="97">
        <f t="shared" si="20"/>
        <v>0.5</v>
      </c>
      <c r="X31" s="97">
        <v>10500.369112605771</v>
      </c>
      <c r="Y31" s="97">
        <f>'Price &amp; GCV of fuels'!H31</f>
        <v>9473.148880681536</v>
      </c>
      <c r="Z31" s="97">
        <f t="shared" si="21"/>
        <v>9473.148880681536</v>
      </c>
      <c r="AA31" s="97">
        <v>3561.0762747560398</v>
      </c>
      <c r="AB31" s="97">
        <f>'Price &amp; GCV of fuels'!X31</f>
        <v>2919.89</v>
      </c>
      <c r="AC31" s="97">
        <f>'Price &amp; GCV of fuels'!Z31</f>
        <v>2954.41</v>
      </c>
      <c r="AD31" s="97">
        <v>45532.274650159372</v>
      </c>
      <c r="AE31" s="97">
        <f>'Price &amp; GCV of fuels'!K31</f>
        <v>43326.700776039143</v>
      </c>
      <c r="AF31" s="97">
        <f t="shared" si="22"/>
        <v>43326.700776039143</v>
      </c>
      <c r="AG31" s="97">
        <v>3437.8034065914676</v>
      </c>
      <c r="AH31" s="97">
        <f>'Price &amp; GCV of fuels'!AC31</f>
        <v>2995.2416820927938</v>
      </c>
      <c r="AI31" s="97">
        <f>'Price &amp; GCV of fuels'!AF31</f>
        <v>2985.6475798924944</v>
      </c>
      <c r="AJ31" s="97">
        <f t="shared" si="23"/>
        <v>0.66545887608263676</v>
      </c>
      <c r="AK31" s="97">
        <f t="shared" si="23"/>
        <v>0.81228440469284469</v>
      </c>
      <c r="AL31" s="97">
        <f t="shared" si="23"/>
        <v>0.80227978701658165</v>
      </c>
      <c r="AM31" s="124">
        <f t="shared" si="24"/>
        <v>2.4579605622005296</v>
      </c>
      <c r="AN31" s="124">
        <f t="shared" si="24"/>
        <v>2.6094486042508409</v>
      </c>
      <c r="AO31" s="124">
        <f t="shared" si="24"/>
        <v>2.5712638881816412</v>
      </c>
      <c r="AP31" s="97">
        <f t="shared" si="25"/>
        <v>823.99544613183571</v>
      </c>
      <c r="AQ31" s="97">
        <f t="shared" si="25"/>
        <v>741.31692326982079</v>
      </c>
      <c r="AR31" s="97">
        <f t="shared" si="25"/>
        <v>730.38406123490745</v>
      </c>
      <c r="AT31" s="9">
        <f t="shared" si="26"/>
        <v>723.83766320685754</v>
      </c>
      <c r="AU31" s="9">
        <f t="shared" si="27"/>
        <v>6.546398028049742</v>
      </c>
      <c r="AV31" s="13">
        <f t="shared" si="28"/>
        <v>730.38406123490734</v>
      </c>
      <c r="AX31" s="91">
        <v>730.38406123490734</v>
      </c>
    </row>
    <row r="32" spans="2:50" x14ac:dyDescent="0.35">
      <c r="B32" s="7" t="s">
        <v>157</v>
      </c>
      <c r="C32" s="105">
        <v>0.85</v>
      </c>
      <c r="D32" s="105">
        <v>0.9250669189028532</v>
      </c>
      <c r="E32" s="105">
        <f t="shared" si="15"/>
        <v>0.85</v>
      </c>
      <c r="F32" s="105">
        <v>0.85</v>
      </c>
      <c r="G32" s="105">
        <v>0.53516530912999105</v>
      </c>
      <c r="H32" s="105"/>
      <c r="I32" s="97">
        <v>7446</v>
      </c>
      <c r="J32" s="97">
        <v>4677.3639999999996</v>
      </c>
      <c r="K32" s="97">
        <f t="shared" si="16"/>
        <v>4677.3639999999996</v>
      </c>
      <c r="L32" s="105">
        <v>0.06</v>
      </c>
      <c r="M32" s="105">
        <v>5.9892958151215266E-2</v>
      </c>
      <c r="N32" s="105">
        <f t="shared" si="17"/>
        <v>0.06</v>
      </c>
      <c r="O32" s="97">
        <f t="shared" si="18"/>
        <v>6999.24</v>
      </c>
      <c r="P32" s="97">
        <f t="shared" si="18"/>
        <v>4397.2228336899989</v>
      </c>
      <c r="Q32" s="97">
        <f t="shared" si="18"/>
        <v>4396.7221599999993</v>
      </c>
      <c r="R32" s="97">
        <v>2375</v>
      </c>
      <c r="S32" s="97">
        <v>2373.7072460238287</v>
      </c>
      <c r="T32" s="97">
        <f t="shared" si="19"/>
        <v>2375</v>
      </c>
      <c r="U32" s="97">
        <v>0.5</v>
      </c>
      <c r="V32" s="97">
        <v>0.48232294942193943</v>
      </c>
      <c r="W32" s="97">
        <f t="shared" si="20"/>
        <v>0.5</v>
      </c>
      <c r="X32" s="97">
        <v>9844.0694151565749</v>
      </c>
      <c r="Y32" s="97">
        <f>'Price &amp; GCV of fuels'!H32</f>
        <v>9383.4898749999993</v>
      </c>
      <c r="Z32" s="97">
        <f t="shared" si="21"/>
        <v>9383.4898749999993</v>
      </c>
      <c r="AA32" s="97">
        <v>3668.8139849572667</v>
      </c>
      <c r="AB32" s="97">
        <f>'Price &amp; GCV of fuels'!X32</f>
        <v>3127.0419389094441</v>
      </c>
      <c r="AC32" s="97">
        <f>'Price &amp; GCV of fuels'!Z32</f>
        <v>3234.2895495532848</v>
      </c>
      <c r="AD32" s="97">
        <v>39595.116279069764</v>
      </c>
      <c r="AE32" s="97">
        <f>'Price &amp; GCV of fuels'!K32</f>
        <v>36766.653130585102</v>
      </c>
      <c r="AF32" s="97">
        <f t="shared" si="22"/>
        <v>36766.653130585102</v>
      </c>
      <c r="AG32" s="97">
        <v>4722.6797622134036</v>
      </c>
      <c r="AH32" s="97">
        <f>'Price &amp; GCV of fuels'!AC32</f>
        <v>3754.9656820777905</v>
      </c>
      <c r="AI32" s="97">
        <f>'Price &amp; GCV of fuels'!AF32</f>
        <v>3755.9367739919353</v>
      </c>
      <c r="AJ32" s="97">
        <f t="shared" si="23"/>
        <v>0.64600657733265465</v>
      </c>
      <c r="AK32" s="97">
        <f t="shared" si="23"/>
        <v>0.75764298010588882</v>
      </c>
      <c r="AL32" s="97">
        <f t="shared" si="23"/>
        <v>0.73286829108726004</v>
      </c>
      <c r="AM32" s="124">
        <f t="shared" si="24"/>
        <v>3.2666805820906508</v>
      </c>
      <c r="AN32" s="124">
        <f t="shared" si="24"/>
        <v>3.045032812979962</v>
      </c>
      <c r="AO32" s="124">
        <f t="shared" si="24"/>
        <v>2.9478620122899564</v>
      </c>
      <c r="AP32" s="97">
        <f t="shared" si="25"/>
        <v>2286.4281397392165</v>
      </c>
      <c r="AQ32" s="97">
        <f t="shared" si="25"/>
        <v>1338.9687814570775</v>
      </c>
      <c r="AR32" s="97">
        <f t="shared" si="25"/>
        <v>1296.0930234057441</v>
      </c>
      <c r="AT32" s="9">
        <f t="shared" si="26"/>
        <v>1287.4944724180698</v>
      </c>
      <c r="AU32" s="9">
        <f t="shared" si="27"/>
        <v>8.5985509876743027</v>
      </c>
      <c r="AV32" s="13">
        <f t="shared" si="28"/>
        <v>1296.0930234057441</v>
      </c>
      <c r="AX32" s="91">
        <v>1296.0930234057439</v>
      </c>
    </row>
    <row r="33" spans="2:52" x14ac:dyDescent="0.35">
      <c r="B33" s="7" t="s">
        <v>158</v>
      </c>
      <c r="C33" s="105">
        <v>0.85</v>
      </c>
      <c r="D33" s="105">
        <v>0.65782087874925665</v>
      </c>
      <c r="E33" s="105">
        <f t="shared" si="15"/>
        <v>0.85</v>
      </c>
      <c r="F33" s="105">
        <v>0.60016582062600443</v>
      </c>
      <c r="G33" s="105">
        <v>0.46451744363521802</v>
      </c>
      <c r="H33" s="105"/>
      <c r="I33" s="97">
        <v>10409.756125593922</v>
      </c>
      <c r="J33" s="97">
        <v>7964.6689999999999</v>
      </c>
      <c r="K33" s="97">
        <f t="shared" si="16"/>
        <v>7964.6689999999999</v>
      </c>
      <c r="L33" s="105">
        <v>0.06</v>
      </c>
      <c r="M33" s="105">
        <v>8.096833653727481E-2</v>
      </c>
      <c r="N33" s="105">
        <f t="shared" si="17"/>
        <v>0.06</v>
      </c>
      <c r="O33" s="97">
        <f t="shared" si="18"/>
        <v>9785.1707580582861</v>
      </c>
      <c r="P33" s="97">
        <f t="shared" si="18"/>
        <v>7319.7829999999994</v>
      </c>
      <c r="Q33" s="97">
        <f t="shared" si="18"/>
        <v>7486.7888599999997</v>
      </c>
      <c r="R33" s="97">
        <v>2230</v>
      </c>
      <c r="S33" s="97">
        <v>2370.6371067916239</v>
      </c>
      <c r="T33" s="97">
        <f t="shared" si="19"/>
        <v>2230</v>
      </c>
      <c r="U33" s="97">
        <v>0.5</v>
      </c>
      <c r="V33" s="97">
        <v>1.6746036778176219</v>
      </c>
      <c r="W33" s="97">
        <f t="shared" si="20"/>
        <v>0.5</v>
      </c>
      <c r="X33" s="97">
        <v>10520.504355722594</v>
      </c>
      <c r="Y33" s="97">
        <f>'Price &amp; GCV of fuels'!H33</f>
        <v>9470.3516828686625</v>
      </c>
      <c r="Z33" s="97">
        <f t="shared" si="21"/>
        <v>9470.3516828686625</v>
      </c>
      <c r="AA33" s="97">
        <v>3494.6430305923404</v>
      </c>
      <c r="AB33" s="97">
        <f>'Price &amp; GCV of fuels'!X33</f>
        <v>2996.511</v>
      </c>
      <c r="AC33" s="97">
        <f>'Price &amp; GCV of fuels'!Z33</f>
        <v>3154</v>
      </c>
      <c r="AD33" s="97">
        <v>46714.146459118587</v>
      </c>
      <c r="AE33" s="97">
        <f>'Price &amp; GCV of fuels'!K33</f>
        <v>36065.297426571378</v>
      </c>
      <c r="AF33" s="97">
        <f t="shared" si="22"/>
        <v>36065.297426571378</v>
      </c>
      <c r="AG33" s="97">
        <v>3335.1752389704852</v>
      </c>
      <c r="AH33" s="97">
        <f>'Price &amp; GCV of fuels'!AC33</f>
        <v>3465.0241133386676</v>
      </c>
      <c r="AI33" s="97">
        <f>'Price &amp; GCV of fuels'!AF33</f>
        <v>3466.7473723919497</v>
      </c>
      <c r="AJ33" s="97">
        <f t="shared" si="23"/>
        <v>0.63661430605261171</v>
      </c>
      <c r="AK33" s="97">
        <f t="shared" si="23"/>
        <v>0.78583993885998271</v>
      </c>
      <c r="AL33" s="97">
        <f t="shared" si="23"/>
        <v>0.70553735705724974</v>
      </c>
      <c r="AM33" s="124">
        <f t="shared" si="24"/>
        <v>2.2835929186708595</v>
      </c>
      <c r="AN33" s="124">
        <f t="shared" si="24"/>
        <v>3.0285674887407583</v>
      </c>
      <c r="AO33" s="124">
        <f t="shared" si="24"/>
        <v>2.6212259866126248</v>
      </c>
      <c r="AP33" s="97">
        <f t="shared" si="25"/>
        <v>2234.5346651087066</v>
      </c>
      <c r="AQ33" s="97">
        <f t="shared" si="25"/>
        <v>2216.8456818437289</v>
      </c>
      <c r="AR33" s="97">
        <f t="shared" si="25"/>
        <v>1962.4565516113908</v>
      </c>
      <c r="AT33" s="9">
        <f t="shared" si="26"/>
        <v>1948.0941437919312</v>
      </c>
      <c r="AU33" s="9">
        <f t="shared" si="27"/>
        <v>14.362407819459641</v>
      </c>
      <c r="AV33" s="13">
        <f t="shared" si="28"/>
        <v>1962.4565516113908</v>
      </c>
      <c r="AX33" s="91">
        <v>1959.6161866903096</v>
      </c>
    </row>
    <row r="34" spans="2:52" x14ac:dyDescent="0.35">
      <c r="B34" s="7" t="s">
        <v>159</v>
      </c>
      <c r="C34" s="105">
        <v>0.85</v>
      </c>
      <c r="D34" s="105">
        <v>0.84258890118136831</v>
      </c>
      <c r="E34" s="105">
        <f t="shared" si="15"/>
        <v>0.85</v>
      </c>
      <c r="F34" s="105">
        <v>0.83125499999999997</v>
      </c>
      <c r="G34" s="105">
        <v>0.810868830030118</v>
      </c>
      <c r="H34" s="105"/>
      <c r="I34" s="97">
        <v>7281.7937999999995</v>
      </c>
      <c r="J34" s="97">
        <v>7027.0960000000014</v>
      </c>
      <c r="K34" s="97">
        <f t="shared" si="16"/>
        <v>7027.0960000000014</v>
      </c>
      <c r="L34" s="105">
        <v>0.06</v>
      </c>
      <c r="M34" s="105">
        <v>5.4882281386222684E-2</v>
      </c>
      <c r="N34" s="105">
        <f t="shared" si="17"/>
        <v>0.06</v>
      </c>
      <c r="O34" s="97">
        <f t="shared" si="18"/>
        <v>6844.8861719999995</v>
      </c>
      <c r="P34" s="97">
        <f t="shared" si="18"/>
        <v>6641.4329400000015</v>
      </c>
      <c r="Q34" s="97">
        <f t="shared" si="18"/>
        <v>6605.4702400000006</v>
      </c>
      <c r="R34" s="97">
        <v>2375</v>
      </c>
      <c r="S34" s="97">
        <v>2300.3210600000002</v>
      </c>
      <c r="T34" s="97">
        <f t="shared" si="19"/>
        <v>2375</v>
      </c>
      <c r="U34" s="97">
        <v>0.5</v>
      </c>
      <c r="V34" s="97">
        <v>0.3298659930076378</v>
      </c>
      <c r="W34" s="97">
        <f t="shared" si="20"/>
        <v>0.5</v>
      </c>
      <c r="X34" s="97">
        <v>10354.860804599088</v>
      </c>
      <c r="Y34" s="97">
        <f>'Price &amp; GCV of fuels'!H34</f>
        <v>9426.1154719585829</v>
      </c>
      <c r="Z34" s="97">
        <f t="shared" si="21"/>
        <v>9426.1154719585829</v>
      </c>
      <c r="AA34" s="97">
        <v>3748.4843396071337</v>
      </c>
      <c r="AB34" s="97">
        <f>'Price &amp; GCV of fuels'!X34</f>
        <v>3215</v>
      </c>
      <c r="AC34" s="97">
        <f>'Price &amp; GCV of fuels'!Z34</f>
        <v>3361.2471264070218</v>
      </c>
      <c r="AD34" s="97">
        <v>44683.263137099282</v>
      </c>
      <c r="AE34" s="97">
        <f>'Price &amp; GCV of fuels'!K34</f>
        <v>35612.48231544</v>
      </c>
      <c r="AF34" s="97">
        <f t="shared" si="22"/>
        <v>35612.48231544</v>
      </c>
      <c r="AG34" s="97">
        <v>3611.6847690640375</v>
      </c>
      <c r="AH34" s="97">
        <f>'Price &amp; GCV of fuels'!AC34</f>
        <v>3350.6460449663423</v>
      </c>
      <c r="AI34" s="97">
        <f>'Price &amp; GCV of fuels'!AF34</f>
        <v>3361.664558878736</v>
      </c>
      <c r="AJ34" s="97">
        <f t="shared" si="23"/>
        <v>0.63220820867723659</v>
      </c>
      <c r="AK34" s="97">
        <f t="shared" si="23"/>
        <v>0.71452930172928086</v>
      </c>
      <c r="AL34" s="97">
        <f t="shared" si="23"/>
        <v>0.70518080138835848</v>
      </c>
      <c r="AM34" s="124">
        <f t="shared" si="24"/>
        <v>2.4528493507716851</v>
      </c>
      <c r="AN34" s="124">
        <f t="shared" si="24"/>
        <v>2.5455899072794672</v>
      </c>
      <c r="AO34" s="124">
        <f t="shared" si="24"/>
        <v>2.5408378178581588</v>
      </c>
      <c r="AP34" s="97">
        <f t="shared" si="25"/>
        <v>1678.9474603096285</v>
      </c>
      <c r="AQ34" s="97">
        <f t="shared" si="25"/>
        <v>1690.6364661937405</v>
      </c>
      <c r="AR34" s="97">
        <f t="shared" si="25"/>
        <v>1678.3428590528608</v>
      </c>
      <c r="AT34" s="9">
        <f t="shared" si="26"/>
        <v>1665.8302424514168</v>
      </c>
      <c r="AU34" s="9">
        <f t="shared" si="27"/>
        <v>12.512616601444961</v>
      </c>
      <c r="AV34" s="13">
        <f t="shared" si="28"/>
        <v>1678.3428590528617</v>
      </c>
      <c r="AX34" s="91">
        <v>1673.655815723811</v>
      </c>
    </row>
    <row r="35" spans="2:52" x14ac:dyDescent="0.35">
      <c r="B35" s="7" t="s">
        <v>160</v>
      </c>
      <c r="C35" s="105">
        <v>0.85</v>
      </c>
      <c r="D35" s="105">
        <v>0.97057926116921989</v>
      </c>
      <c r="E35" s="105">
        <f t="shared" si="15"/>
        <v>0.85</v>
      </c>
      <c r="F35" s="105">
        <v>0.73714333333333326</v>
      </c>
      <c r="G35" s="105">
        <v>0.44629999999999997</v>
      </c>
      <c r="H35" s="105"/>
      <c r="I35" s="97">
        <v>1614.3438999999998</v>
      </c>
      <c r="J35" s="97">
        <v>996.63900000000001</v>
      </c>
      <c r="K35" s="97">
        <f t="shared" si="16"/>
        <v>996.63900000000001</v>
      </c>
      <c r="L35" s="105">
        <v>8.5000000000000006E-2</v>
      </c>
      <c r="M35" s="105">
        <v>0.10261727566350504</v>
      </c>
      <c r="N35" s="105">
        <f t="shared" si="17"/>
        <v>8.5000000000000006E-2</v>
      </c>
      <c r="O35" s="97">
        <f t="shared" si="18"/>
        <v>1477.1246684999999</v>
      </c>
      <c r="P35" s="97">
        <f t="shared" si="18"/>
        <v>894.36662100000001</v>
      </c>
      <c r="Q35" s="97">
        <f t="shared" si="18"/>
        <v>911.92468500000007</v>
      </c>
      <c r="R35" s="97">
        <v>2430</v>
      </c>
      <c r="S35" s="97">
        <v>2393.63051</v>
      </c>
      <c r="T35" s="97">
        <f t="shared" si="19"/>
        <v>2430</v>
      </c>
      <c r="U35" s="97">
        <v>0.5</v>
      </c>
      <c r="V35" s="97">
        <v>0.79442004577384595</v>
      </c>
      <c r="W35" s="97">
        <f t="shared" si="20"/>
        <v>0.5</v>
      </c>
      <c r="X35" s="97">
        <v>10346</v>
      </c>
      <c r="Y35" s="97">
        <f>'Price &amp; GCV of fuels'!H35</f>
        <v>9426.621231765077</v>
      </c>
      <c r="Z35" s="97">
        <f t="shared" si="21"/>
        <v>9426.621231765077</v>
      </c>
      <c r="AA35" s="97">
        <v>3269.1030625148678</v>
      </c>
      <c r="AB35" s="97">
        <f>'Price &amp; GCV of fuels'!X35</f>
        <v>3207</v>
      </c>
      <c r="AC35" s="97">
        <f>'Price &amp; GCV of fuels'!Z35</f>
        <v>3207</v>
      </c>
      <c r="AD35" s="97">
        <v>41526.428579222054</v>
      </c>
      <c r="AE35" s="97">
        <f>'Price &amp; GCV of fuels'!K35</f>
        <v>46754.473353765461</v>
      </c>
      <c r="AF35" s="97">
        <f t="shared" si="22"/>
        <v>46754.473353765461</v>
      </c>
      <c r="AG35" s="97">
        <v>4696.9785792867651</v>
      </c>
      <c r="AH35" s="97">
        <f>'Price &amp; GCV of fuels'!AC35</f>
        <v>4142.9608499985352</v>
      </c>
      <c r="AI35" s="97">
        <f>'Price &amp; GCV of fuels'!AF35</f>
        <v>4153.3593422029744</v>
      </c>
      <c r="AJ35" s="97">
        <f t="shared" si="23"/>
        <v>0.74174076302587422</v>
      </c>
      <c r="AK35" s="97">
        <f t="shared" si="23"/>
        <v>0.74404172532883339</v>
      </c>
      <c r="AL35" s="97">
        <f t="shared" si="23"/>
        <v>0.75624779837359446</v>
      </c>
      <c r="AM35" s="124">
        <f t="shared" si="24"/>
        <v>3.8302772563999592</v>
      </c>
      <c r="AN35" s="124">
        <f t="shared" si="24"/>
        <v>3.4764190852583794</v>
      </c>
      <c r="AO35" s="124">
        <f t="shared" si="24"/>
        <v>3.4583017432483958</v>
      </c>
      <c r="AP35" s="97">
        <f t="shared" si="25"/>
        <v>565.77970226228786</v>
      </c>
      <c r="AQ35" s="97">
        <f t="shared" si="25"/>
        <v>310.91931904624477</v>
      </c>
      <c r="AR35" s="97">
        <f t="shared" si="25"/>
        <v>315.37107278467442</v>
      </c>
      <c r="AT35" s="9">
        <f t="shared" si="26"/>
        <v>313.04120620623331</v>
      </c>
      <c r="AU35" s="9">
        <f t="shared" si="27"/>
        <v>2.3298665784411727</v>
      </c>
      <c r="AV35" s="13">
        <f t="shared" si="28"/>
        <v>315.37107278467448</v>
      </c>
      <c r="AX35" s="91">
        <v>315.37107278467448</v>
      </c>
    </row>
    <row r="36" spans="2:52" x14ac:dyDescent="0.35">
      <c r="B36" s="12" t="s">
        <v>27</v>
      </c>
      <c r="C36" s="7"/>
      <c r="D36" s="7"/>
      <c r="E36" s="7"/>
      <c r="F36" s="7"/>
      <c r="G36" s="7"/>
      <c r="H36" s="7"/>
      <c r="I36" s="98">
        <f>SUM(I23:I35)</f>
        <v>63580.13541092143</v>
      </c>
      <c r="J36" s="98">
        <f>SUM(J23:J35)</f>
        <v>45888.172000000013</v>
      </c>
      <c r="K36" s="98">
        <f>SUM(K23:K35)</f>
        <v>45888.172000000013</v>
      </c>
      <c r="L36" s="126">
        <f>SUMPRODUCT(I23:I35,L23:L35)/I36</f>
        <v>7.4268219205816874E-2</v>
      </c>
      <c r="M36" s="126">
        <f>SUMPRODUCT(J23:J35,M23:M35)/J36</f>
        <v>8.0352892986393171E-2</v>
      </c>
      <c r="N36" s="126">
        <f>SUMPRODUCT(K23:K35,N23:N35)/K36</f>
        <v>7.1726747951520037E-2</v>
      </c>
      <c r="O36" s="98">
        <f>SUM(O23:O35)</f>
        <v>58858.151977087604</v>
      </c>
      <c r="P36" s="98">
        <f>SUM(P23:P35)</f>
        <v>42200.924625942796</v>
      </c>
      <c r="Q36" s="98">
        <f>SUM(Q23:Q35)</f>
        <v>42596.762652999998</v>
      </c>
      <c r="R36" s="98">
        <f>SUMPRODUCT(I23:I35,R23:R35)/I36</f>
        <v>2458.2052775285692</v>
      </c>
      <c r="S36" s="98">
        <f>SUMPRODUCT(J23:J35,S23:S35)/J36</f>
        <v>2451.8322351996649</v>
      </c>
      <c r="T36" s="98">
        <f>SUMPRODUCT(K23:K35,T23:T35)/K36</f>
        <v>2441.6834288147274</v>
      </c>
      <c r="U36" s="98">
        <f>SUMPRODUCT(I23:I35,U23:U35)/I36</f>
        <v>0.72087380193959816</v>
      </c>
      <c r="V36" s="98">
        <f>SUMPRODUCT(J23:J35,V23:V35)/J36</f>
        <v>1.1267756552348367</v>
      </c>
      <c r="W36" s="98">
        <f>SUMPRODUCT(K23:K35,W23:W35)/K36</f>
        <v>0.6878100783792388</v>
      </c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8">
        <f>SUM(AP23:AP35)</f>
        <v>16635.437796626418</v>
      </c>
      <c r="AQ36" s="98">
        <f>SUM(AQ23:AQ35)</f>
        <v>12409.011004552956</v>
      </c>
      <c r="AR36" s="98">
        <f>SUM(AR23:AR35)</f>
        <v>11908.33737888918</v>
      </c>
      <c r="AT36" s="98">
        <f t="shared" ref="AT36:AV36" si="29">SUM(AT23:AT35)</f>
        <v>11790.28306511779</v>
      </c>
      <c r="AU36" s="98">
        <f t="shared" si="29"/>
        <v>118.05431377139567</v>
      </c>
      <c r="AV36" s="98">
        <f t="shared" si="29"/>
        <v>11908.337378889184</v>
      </c>
      <c r="AX36" s="127">
        <f>SUM(AX23:AX35)</f>
        <v>11902.581306861259</v>
      </c>
    </row>
    <row r="37" spans="2:52" x14ac:dyDescent="0.35">
      <c r="AQ37" s="91">
        <f>AQ36*10/P36</f>
        <v>2.9404595075920641</v>
      </c>
    </row>
    <row r="38" spans="2:52" x14ac:dyDescent="0.35">
      <c r="B38" s="3" t="s">
        <v>290</v>
      </c>
    </row>
    <row r="39" spans="2:52" x14ac:dyDescent="0.35">
      <c r="B39" s="187" t="s">
        <v>170</v>
      </c>
      <c r="C39" s="187" t="s">
        <v>273</v>
      </c>
      <c r="D39" s="187"/>
      <c r="E39" s="187"/>
      <c r="F39" s="187" t="s">
        <v>274</v>
      </c>
      <c r="G39" s="187"/>
      <c r="H39" s="187"/>
      <c r="I39" s="187" t="s">
        <v>275</v>
      </c>
      <c r="J39" s="187"/>
      <c r="K39" s="187"/>
      <c r="L39" s="187" t="s">
        <v>276</v>
      </c>
      <c r="M39" s="187"/>
      <c r="N39" s="187"/>
      <c r="O39" s="187" t="s">
        <v>277</v>
      </c>
      <c r="P39" s="187"/>
      <c r="Q39" s="187"/>
      <c r="R39" s="187" t="s">
        <v>278</v>
      </c>
      <c r="S39" s="187"/>
      <c r="T39" s="187"/>
      <c r="U39" s="187" t="s">
        <v>279</v>
      </c>
      <c r="V39" s="187"/>
      <c r="W39" s="187"/>
      <c r="X39" s="187" t="s">
        <v>280</v>
      </c>
      <c r="Y39" s="187"/>
      <c r="Z39" s="187"/>
      <c r="AA39" s="187" t="s">
        <v>281</v>
      </c>
      <c r="AB39" s="187"/>
      <c r="AC39" s="187"/>
      <c r="AD39" s="187" t="s">
        <v>282</v>
      </c>
      <c r="AE39" s="187"/>
      <c r="AF39" s="187"/>
      <c r="AG39" s="187" t="s">
        <v>283</v>
      </c>
      <c r="AH39" s="187"/>
      <c r="AI39" s="187"/>
      <c r="AJ39" s="187" t="s">
        <v>284</v>
      </c>
      <c r="AK39" s="187"/>
      <c r="AL39" s="187"/>
      <c r="AM39" s="187" t="s">
        <v>285</v>
      </c>
      <c r="AN39" s="187"/>
      <c r="AO39" s="187"/>
      <c r="AP39" s="187" t="s">
        <v>286</v>
      </c>
      <c r="AQ39" s="187"/>
      <c r="AR39" s="187"/>
    </row>
    <row r="40" spans="2:52" ht="30" x14ac:dyDescent="0.35">
      <c r="B40" s="187"/>
      <c r="C40" s="96" t="s">
        <v>172</v>
      </c>
      <c r="D40" s="6" t="s">
        <v>237</v>
      </c>
      <c r="E40" s="6" t="s">
        <v>132</v>
      </c>
      <c r="F40" s="96" t="s">
        <v>172</v>
      </c>
      <c r="G40" s="6" t="s">
        <v>237</v>
      </c>
      <c r="H40" s="6" t="s">
        <v>132</v>
      </c>
      <c r="I40" s="96" t="s">
        <v>172</v>
      </c>
      <c r="J40" s="6" t="s">
        <v>237</v>
      </c>
      <c r="K40" s="6" t="s">
        <v>132</v>
      </c>
      <c r="L40" s="96" t="s">
        <v>172</v>
      </c>
      <c r="M40" s="6" t="s">
        <v>237</v>
      </c>
      <c r="N40" s="6" t="s">
        <v>132</v>
      </c>
      <c r="O40" s="96" t="s">
        <v>172</v>
      </c>
      <c r="P40" s="6" t="s">
        <v>237</v>
      </c>
      <c r="Q40" s="6" t="s">
        <v>132</v>
      </c>
      <c r="R40" s="96" t="s">
        <v>172</v>
      </c>
      <c r="S40" s="6" t="s">
        <v>237</v>
      </c>
      <c r="T40" s="6" t="s">
        <v>132</v>
      </c>
      <c r="U40" s="96" t="s">
        <v>172</v>
      </c>
      <c r="V40" s="6" t="s">
        <v>237</v>
      </c>
      <c r="W40" s="6" t="s">
        <v>132</v>
      </c>
      <c r="X40" s="96" t="s">
        <v>172</v>
      </c>
      <c r="Y40" s="6" t="s">
        <v>237</v>
      </c>
      <c r="Z40" s="6" t="s">
        <v>132</v>
      </c>
      <c r="AA40" s="96" t="s">
        <v>172</v>
      </c>
      <c r="AB40" s="6" t="s">
        <v>237</v>
      </c>
      <c r="AC40" s="6" t="s">
        <v>132</v>
      </c>
      <c r="AD40" s="96" t="s">
        <v>172</v>
      </c>
      <c r="AE40" s="6" t="s">
        <v>237</v>
      </c>
      <c r="AF40" s="6" t="s">
        <v>132</v>
      </c>
      <c r="AG40" s="96" t="s">
        <v>172</v>
      </c>
      <c r="AH40" s="6" t="s">
        <v>237</v>
      </c>
      <c r="AI40" s="6" t="s">
        <v>132</v>
      </c>
      <c r="AJ40" s="96" t="s">
        <v>172</v>
      </c>
      <c r="AK40" s="6" t="s">
        <v>237</v>
      </c>
      <c r="AL40" s="6" t="s">
        <v>132</v>
      </c>
      <c r="AM40" s="96" t="s">
        <v>172</v>
      </c>
      <c r="AN40" s="6" t="s">
        <v>237</v>
      </c>
      <c r="AO40" s="6" t="s">
        <v>132</v>
      </c>
      <c r="AP40" s="96" t="s">
        <v>172</v>
      </c>
      <c r="AQ40" s="6" t="s">
        <v>237</v>
      </c>
      <c r="AR40" s="6" t="s">
        <v>132</v>
      </c>
      <c r="AT40" s="12" t="s">
        <v>287</v>
      </c>
      <c r="AU40" s="12" t="s">
        <v>288</v>
      </c>
      <c r="AV40" s="7"/>
    </row>
    <row r="41" spans="2:52" x14ac:dyDescent="0.35">
      <c r="B41" s="7" t="s">
        <v>43</v>
      </c>
      <c r="C41" s="105">
        <v>0.8</v>
      </c>
      <c r="D41" s="105">
        <v>0.6468820606376755</v>
      </c>
      <c r="E41" s="105">
        <f>C41</f>
        <v>0.8</v>
      </c>
      <c r="F41" s="105">
        <v>0.70149500000000009</v>
      </c>
      <c r="G41" s="105">
        <v>0.28692621183561645</v>
      </c>
      <c r="H41" s="105"/>
      <c r="I41" s="97">
        <v>1290.470202</v>
      </c>
      <c r="J41" s="97">
        <v>535.99900000000002</v>
      </c>
      <c r="K41" s="97">
        <f>J41</f>
        <v>535.99900000000002</v>
      </c>
      <c r="L41" s="105">
        <v>0.1096</v>
      </c>
      <c r="M41" s="105">
        <v>0.14474289308605856</v>
      </c>
      <c r="N41" s="105">
        <f>L41</f>
        <v>0.1096</v>
      </c>
      <c r="O41" s="97">
        <f>I41*(1-L41)</f>
        <v>1149.0346678608</v>
      </c>
      <c r="P41" s="97">
        <f>J41*(1-M41)</f>
        <v>458.41695404876572</v>
      </c>
      <c r="Q41" s="97">
        <f>K41*(1-N41)</f>
        <v>477.25350960000003</v>
      </c>
      <c r="R41" s="97">
        <v>2787</v>
      </c>
      <c r="S41" s="97">
        <v>2883.2514550418937</v>
      </c>
      <c r="T41" s="97">
        <f>R41</f>
        <v>2787</v>
      </c>
      <c r="U41" s="97">
        <v>1.4</v>
      </c>
      <c r="V41" s="97">
        <v>9.56913858989674</v>
      </c>
      <c r="W41" s="97">
        <f>U41</f>
        <v>1.4</v>
      </c>
      <c r="X41" s="97">
        <v>9830.5431413381302</v>
      </c>
      <c r="Y41" s="97">
        <f>'Price &amp; GCV of fuels'!AH59</f>
        <v>9674.0926120218592</v>
      </c>
      <c r="Z41" s="97">
        <f>Y41</f>
        <v>9674.0926120218592</v>
      </c>
      <c r="AA41" s="97">
        <v>3914.9276719705049</v>
      </c>
      <c r="AB41" s="97">
        <f>'Price &amp; GCV of fuels'!AJ59</f>
        <v>3045.5348657710401</v>
      </c>
      <c r="AC41" s="97">
        <f>'Price &amp; GCV of fuels'!AK59</f>
        <v>3365.0096481210621</v>
      </c>
      <c r="AD41" s="97">
        <v>40803.109475670768</v>
      </c>
      <c r="AE41" s="97">
        <f>'Price &amp; GCV of fuels'!AI59</f>
        <v>45232.806865344712</v>
      </c>
      <c r="AF41" s="97">
        <f>AE41</f>
        <v>45232.806865344712</v>
      </c>
      <c r="AG41" s="97">
        <v>4956.3681556776164</v>
      </c>
      <c r="AH41" s="97">
        <f>'Price &amp; GCV of fuels'!AL59</f>
        <v>4018.03158169566</v>
      </c>
      <c r="AI41" s="97">
        <f>'Price &amp; GCV of fuels'!AM59</f>
        <v>4017.8036799999991</v>
      </c>
      <c r="AJ41" s="97">
        <f>(R41-U41*X41/1000)/AA41</f>
        <v>0.70837508939373839</v>
      </c>
      <c r="AK41" s="97">
        <f>(S41-V41*Y41/1000)/AB41</f>
        <v>0.916318100137541</v>
      </c>
      <c r="AL41" s="97">
        <f>(T41-W41*Z41/1000)/AC41</f>
        <v>0.82420455224899536</v>
      </c>
      <c r="AM41" s="124">
        <f>(AJ41*AG41/1000+U41*AD41/10^6)/(1-L41)</f>
        <v>4.0072912046410032</v>
      </c>
      <c r="AN41" s="124">
        <f>(AK41*AH41/1000+V41*AE41/10^6)/(1-M41)</f>
        <v>4.8109907882362082</v>
      </c>
      <c r="AO41" s="124">
        <f>(AL41*AI41/1000+W41*AF41/10^6)/(1-N41)</f>
        <v>3.7902268786053992</v>
      </c>
      <c r="AP41" s="97">
        <f>O41*AM41/10</f>
        <v>460.45165183461802</v>
      </c>
      <c r="AQ41" s="97">
        <f>MIN(P41*AN41/10,AY41)</f>
        <v>207.50709636077153</v>
      </c>
      <c r="AR41" s="97">
        <f t="shared" ref="AR41:AR53" si="30">MIN(Q41*AO41/10,AZ41)</f>
        <v>177.01233052237654</v>
      </c>
      <c r="AT41" s="9"/>
      <c r="AU41" s="9"/>
      <c r="AV41" s="13">
        <f>AR41</f>
        <v>177.01233052237654</v>
      </c>
      <c r="AY41" s="128">
        <v>207.50709636077153</v>
      </c>
      <c r="AZ41" s="128">
        <v>177.01233052237654</v>
      </c>
    </row>
    <row r="42" spans="2:52" x14ac:dyDescent="0.35">
      <c r="B42" s="7" t="s">
        <v>150</v>
      </c>
      <c r="C42" s="105">
        <v>0.8</v>
      </c>
      <c r="D42" s="105">
        <v>0.53509433752273083</v>
      </c>
      <c r="E42" s="105">
        <f t="shared" ref="E42:E53" si="31">C42</f>
        <v>0.8</v>
      </c>
      <c r="F42" s="105">
        <v>0.67538500000000001</v>
      </c>
      <c r="G42" s="105">
        <v>0.50386190125619501</v>
      </c>
      <c r="H42" s="105"/>
      <c r="I42" s="97">
        <v>11359.435391999999</v>
      </c>
      <c r="J42" s="97">
        <v>8656.9569999999985</v>
      </c>
      <c r="K42" s="97">
        <f t="shared" ref="K42:K53" si="32">J42</f>
        <v>8656.9569999999985</v>
      </c>
      <c r="L42" s="105">
        <v>7.8E-2</v>
      </c>
      <c r="M42" s="105">
        <v>0.10316019930559897</v>
      </c>
      <c r="N42" s="105">
        <f t="shared" ref="N42:N53" si="33">L42</f>
        <v>7.8E-2</v>
      </c>
      <c r="O42" s="97">
        <f t="shared" ref="O42:Q53" si="34">I42*(1-L42)</f>
        <v>10473.399431424001</v>
      </c>
      <c r="P42" s="97">
        <f t="shared" si="34"/>
        <v>7763.9035904999992</v>
      </c>
      <c r="Q42" s="97">
        <f t="shared" si="34"/>
        <v>7981.7143539999988</v>
      </c>
      <c r="R42" s="97">
        <v>2688</v>
      </c>
      <c r="S42" s="97">
        <v>2613.7351870885768</v>
      </c>
      <c r="T42" s="97">
        <f t="shared" ref="T42:T53" si="35">R42</f>
        <v>2688</v>
      </c>
      <c r="U42" s="97">
        <v>1</v>
      </c>
      <c r="V42" s="97">
        <v>3.1370595926490106</v>
      </c>
      <c r="W42" s="97">
        <f t="shared" ref="W42:W45" si="36">U42</f>
        <v>1</v>
      </c>
      <c r="X42" s="97">
        <v>10333.74673749099</v>
      </c>
      <c r="Y42" s="97">
        <f>'Price &amp; GCV of fuels'!AH60</f>
        <v>9613.3723571638384</v>
      </c>
      <c r="Z42" s="97">
        <f t="shared" ref="Z42:Z53" si="37">Y42</f>
        <v>9613.3723571638384</v>
      </c>
      <c r="AA42" s="97">
        <v>3649.1599251529537</v>
      </c>
      <c r="AB42" s="97">
        <f>'Price &amp; GCV of fuels'!AJ60</f>
        <v>3106.3679458366528</v>
      </c>
      <c r="AC42" s="97">
        <f>'Price &amp; GCV of fuels'!AK60</f>
        <v>3282.2483069927439</v>
      </c>
      <c r="AD42" s="97">
        <v>45743.029624381488</v>
      </c>
      <c r="AE42" s="97">
        <f>'Price &amp; GCV of fuels'!AI60</f>
        <v>44782.361677164015</v>
      </c>
      <c r="AF42" s="97">
        <f t="shared" ref="AF42:AF53" si="38">AE42</f>
        <v>44782.361677164015</v>
      </c>
      <c r="AG42" s="97">
        <v>3202.1167806879907</v>
      </c>
      <c r="AH42" s="97">
        <f>'Price &amp; GCV of fuels'!AL60</f>
        <v>3379.790211032659</v>
      </c>
      <c r="AI42" s="97">
        <f>'Price &amp; GCV of fuels'!AM60</f>
        <v>3394.2268604971168</v>
      </c>
      <c r="AJ42" s="97">
        <f t="shared" ref="AJ42:AL53" si="39">(R42-U42*X42/1000)/AA42</f>
        <v>0.73377607673642187</v>
      </c>
      <c r="AK42" s="97">
        <f t="shared" si="39"/>
        <v>0.83170361984339292</v>
      </c>
      <c r="AL42" s="97">
        <f t="shared" si="39"/>
        <v>0.81602193896683672</v>
      </c>
      <c r="AM42" s="124">
        <f t="shared" ref="AM42:AO53" si="40">(AJ42*AG42/1000+U42*AD42/10^6)/(1-L42)</f>
        <v>2.598025724739129</v>
      </c>
      <c r="AN42" s="124">
        <f t="shared" si="40"/>
        <v>3.2909653293962897</v>
      </c>
      <c r="AO42" s="124">
        <f t="shared" si="40"/>
        <v>3.0526528694938615</v>
      </c>
      <c r="AP42" s="97">
        <f t="shared" ref="AP42:AP53" si="41">O42*AM42/10</f>
        <v>2721.016114830772</v>
      </c>
      <c r="AQ42" s="97">
        <f t="shared" ref="AQ42:AQ53" si="42">MIN(P42*AN42/10,AY42)</f>
        <v>2555.0737537110863</v>
      </c>
      <c r="AR42" s="97">
        <f t="shared" si="30"/>
        <v>2387.7452839446946</v>
      </c>
      <c r="AT42" s="9"/>
      <c r="AU42" s="9"/>
      <c r="AV42" s="13">
        <f t="shared" ref="AV42:AV53" si="43">AR42</f>
        <v>2387.7452839446946</v>
      </c>
      <c r="AY42" s="128">
        <v>2556.3536109855777</v>
      </c>
      <c r="AZ42" s="128">
        <v>2387.7452839446946</v>
      </c>
    </row>
    <row r="43" spans="2:52" x14ac:dyDescent="0.35">
      <c r="B43" s="7" t="s">
        <v>151</v>
      </c>
      <c r="C43" s="105">
        <v>0.85</v>
      </c>
      <c r="D43" s="105">
        <v>0.61001163373633305</v>
      </c>
      <c r="E43" s="105">
        <f t="shared" si="31"/>
        <v>0.85</v>
      </c>
      <c r="F43" s="105">
        <v>0.67230048889184746</v>
      </c>
      <c r="G43" s="105">
        <v>0.50175999999999998</v>
      </c>
      <c r="H43" s="105"/>
      <c r="I43" s="97">
        <v>4947.0559174617702</v>
      </c>
      <c r="J43" s="97">
        <v>3692.1129999999998</v>
      </c>
      <c r="K43" s="97">
        <f t="shared" si="32"/>
        <v>3692.1129999999998</v>
      </c>
      <c r="L43" s="105">
        <v>9.7000000000000003E-2</v>
      </c>
      <c r="M43" s="105">
        <v>0.11307048294567366</v>
      </c>
      <c r="N43" s="105">
        <f t="shared" si="33"/>
        <v>9.7000000000000003E-2</v>
      </c>
      <c r="O43" s="97">
        <f t="shared" si="34"/>
        <v>4467.1914934679789</v>
      </c>
      <c r="P43" s="97">
        <f t="shared" si="34"/>
        <v>3274.6439999999998</v>
      </c>
      <c r="Q43" s="97">
        <f t="shared" si="34"/>
        <v>3333.9780390000001</v>
      </c>
      <c r="R43" s="97">
        <v>2630</v>
      </c>
      <c r="S43" s="97">
        <v>2688.6843421973622</v>
      </c>
      <c r="T43" s="97">
        <f t="shared" si="35"/>
        <v>2630</v>
      </c>
      <c r="U43" s="97">
        <v>1.2</v>
      </c>
      <c r="V43" s="97">
        <v>1.2</v>
      </c>
      <c r="W43" s="97">
        <f t="shared" si="36"/>
        <v>1.2</v>
      </c>
      <c r="X43" s="97">
        <v>10475.928630431306</v>
      </c>
      <c r="Y43" s="97">
        <f>'Price &amp; GCV of fuels'!AH61</f>
        <v>9447.5262644738559</v>
      </c>
      <c r="Z43" s="97">
        <f t="shared" si="37"/>
        <v>9447.5262644738559</v>
      </c>
      <c r="AA43" s="97">
        <v>3514.4721853011984</v>
      </c>
      <c r="AB43" s="97">
        <f>'Price &amp; GCV of fuels'!AJ61</f>
        <v>2897.8275312260621</v>
      </c>
      <c r="AC43" s="97">
        <f>'Price &amp; GCV of fuels'!AK61</f>
        <v>3118.8320898974907</v>
      </c>
      <c r="AD43" s="97">
        <v>46843.774715753832</v>
      </c>
      <c r="AE43" s="97">
        <f>'Price &amp; GCV of fuels'!AI61</f>
        <v>44652.825879922915</v>
      </c>
      <c r="AF43" s="97">
        <f t="shared" si="38"/>
        <v>44652.825879922915</v>
      </c>
      <c r="AG43" s="97">
        <v>3411.512368914714</v>
      </c>
      <c r="AH43" s="97">
        <f>'Price &amp; GCV of fuels'!AL61</f>
        <v>3223.0787030582601</v>
      </c>
      <c r="AI43" s="97">
        <f>'Price &amp; GCV of fuels'!AM61</f>
        <v>3201.0320143384879</v>
      </c>
      <c r="AJ43" s="97">
        <f t="shared" si="39"/>
        <v>0.74475731991578209</v>
      </c>
      <c r="AK43" s="97">
        <f t="shared" si="39"/>
        <v>0.92391534065770153</v>
      </c>
      <c r="AL43" s="97">
        <f t="shared" si="39"/>
        <v>0.83962935259163018</v>
      </c>
      <c r="AM43" s="124">
        <f t="shared" si="40"/>
        <v>2.875926177620562</v>
      </c>
      <c r="AN43" s="124">
        <f t="shared" si="40"/>
        <v>3.4178987063443067</v>
      </c>
      <c r="AO43" s="124">
        <f t="shared" si="40"/>
        <v>3.0357296000886085</v>
      </c>
      <c r="AP43" s="97">
        <f t="shared" si="41"/>
        <v>1284.7312956508454</v>
      </c>
      <c r="AQ43" s="97">
        <f t="shared" si="42"/>
        <v>1119.2401491338146</v>
      </c>
      <c r="AR43" s="97">
        <f t="shared" si="30"/>
        <v>996.39140223789548</v>
      </c>
      <c r="AT43" s="9"/>
      <c r="AU43" s="9"/>
      <c r="AV43" s="13">
        <f t="shared" si="43"/>
        <v>996.39140223789548</v>
      </c>
      <c r="AY43" s="128">
        <v>1151.8958834663467</v>
      </c>
      <c r="AZ43" s="128">
        <v>996.39140223789548</v>
      </c>
    </row>
    <row r="44" spans="2:52" x14ac:dyDescent="0.35">
      <c r="B44" s="7" t="s">
        <v>44</v>
      </c>
      <c r="C44" s="105">
        <v>0.72</v>
      </c>
      <c r="D44" s="105">
        <v>0.72516156969920809</v>
      </c>
      <c r="E44" s="105">
        <f t="shared" si="31"/>
        <v>0.72</v>
      </c>
      <c r="F44" s="105">
        <v>0.35617997230969733</v>
      </c>
      <c r="G44" s="105">
        <v>0.59432743635988616</v>
      </c>
      <c r="H44" s="105"/>
      <c r="I44" s="97">
        <v>1310.4573541218385</v>
      </c>
      <c r="J44" s="97">
        <v>899.20299999999997</v>
      </c>
      <c r="K44" s="97">
        <f t="shared" si="32"/>
        <v>899.20299999999997</v>
      </c>
      <c r="L44" s="105">
        <v>0.1081</v>
      </c>
      <c r="M44" s="105">
        <v>0.12795108557244583</v>
      </c>
      <c r="N44" s="105">
        <f t="shared" si="33"/>
        <v>0.1081</v>
      </c>
      <c r="O44" s="97">
        <f t="shared" si="34"/>
        <v>1168.7969141412677</v>
      </c>
      <c r="P44" s="97">
        <f t="shared" si="34"/>
        <v>784.149</v>
      </c>
      <c r="Q44" s="97">
        <f t="shared" si="34"/>
        <v>801.99915569999996</v>
      </c>
      <c r="R44" s="97">
        <v>2622</v>
      </c>
      <c r="S44" s="97">
        <v>2577.4911685749998</v>
      </c>
      <c r="T44" s="97">
        <f t="shared" si="35"/>
        <v>2622</v>
      </c>
      <c r="U44" s="97">
        <v>2.81</v>
      </c>
      <c r="V44" s="97">
        <v>14.07701270905355</v>
      </c>
      <c r="W44" s="97">
        <f t="shared" si="36"/>
        <v>2.81</v>
      </c>
      <c r="X44" s="97">
        <v>10328.102863339926</v>
      </c>
      <c r="Y44" s="97">
        <f>'Price &amp; GCV of fuels'!AH62</f>
        <v>9598.6635086331298</v>
      </c>
      <c r="Z44" s="97">
        <f t="shared" si="37"/>
        <v>9598.6635086331298</v>
      </c>
      <c r="AA44" s="97">
        <v>3707.4820778148987</v>
      </c>
      <c r="AB44" s="97">
        <f>'Price &amp; GCV of fuels'!AJ62</f>
        <v>2828.5196477825571</v>
      </c>
      <c r="AC44" s="97">
        <f>'Price &amp; GCV of fuels'!AK62</f>
        <v>3021.5480181517573</v>
      </c>
      <c r="AD44" s="97">
        <v>47991.733102368082</v>
      </c>
      <c r="AE44" s="97">
        <f>'Price &amp; GCV of fuels'!AI62</f>
        <v>43134.915475092697</v>
      </c>
      <c r="AF44" s="97">
        <f t="shared" si="38"/>
        <v>43134.915475092697</v>
      </c>
      <c r="AG44" s="97">
        <v>3919.660724526489</v>
      </c>
      <c r="AH44" s="97">
        <f>'Price &amp; GCV of fuels'!AL62</f>
        <v>3626.4643093667073</v>
      </c>
      <c r="AI44" s="97">
        <f>'Price &amp; GCV of fuels'!AM62</f>
        <v>3621.1424578274195</v>
      </c>
      <c r="AJ44" s="97">
        <f t="shared" si="39"/>
        <v>0.69939057735978427</v>
      </c>
      <c r="AK44" s="97">
        <f t="shared" si="39"/>
        <v>0.86348018204107613</v>
      </c>
      <c r="AL44" s="97">
        <f t="shared" si="39"/>
        <v>0.8588404817501748</v>
      </c>
      <c r="AM44" s="124">
        <f t="shared" si="40"/>
        <v>3.224835236235795</v>
      </c>
      <c r="AN44" s="124">
        <f t="shared" si="40"/>
        <v>4.2871343034907765</v>
      </c>
      <c r="AO44" s="124">
        <f t="shared" si="40"/>
        <v>3.6228196495700455</v>
      </c>
      <c r="AP44" s="97">
        <f t="shared" si="41"/>
        <v>376.91774727264232</v>
      </c>
      <c r="AQ44" s="97">
        <f t="shared" si="42"/>
        <v>336.17520769479887</v>
      </c>
      <c r="AR44" s="97">
        <f t="shared" si="30"/>
        <v>257.8911033565027</v>
      </c>
      <c r="AT44" s="9"/>
      <c r="AU44" s="9"/>
      <c r="AV44" s="13">
        <f t="shared" si="43"/>
        <v>257.8911033565027</v>
      </c>
      <c r="AY44" s="128">
        <v>337.8317422561654</v>
      </c>
      <c r="AZ44" s="128">
        <v>257.8911033565027</v>
      </c>
    </row>
    <row r="45" spans="2:52" x14ac:dyDescent="0.35">
      <c r="B45" s="7" t="s">
        <v>152</v>
      </c>
      <c r="C45" s="105">
        <v>0.8</v>
      </c>
      <c r="D45" s="105">
        <v>0.84426073847789562</v>
      </c>
      <c r="E45" s="105">
        <f t="shared" si="31"/>
        <v>0.8</v>
      </c>
      <c r="F45" s="105">
        <v>0.8</v>
      </c>
      <c r="G45" s="105">
        <v>0.59236999999999995</v>
      </c>
      <c r="H45" s="105"/>
      <c r="I45" s="97">
        <v>4415.04</v>
      </c>
      <c r="J45" s="97">
        <v>2013.9950000000001</v>
      </c>
      <c r="K45" s="97">
        <f t="shared" si="32"/>
        <v>2013.9950000000001</v>
      </c>
      <c r="L45" s="105">
        <v>0.1075</v>
      </c>
      <c r="M45" s="105">
        <v>0.11349142760931476</v>
      </c>
      <c r="N45" s="105">
        <f t="shared" si="33"/>
        <v>0.1075</v>
      </c>
      <c r="O45" s="97">
        <f t="shared" si="34"/>
        <v>3940.4231999999997</v>
      </c>
      <c r="P45" s="97">
        <f t="shared" si="34"/>
        <v>1785.4238322519782</v>
      </c>
      <c r="Q45" s="97">
        <f t="shared" si="34"/>
        <v>1797.4905375000001</v>
      </c>
      <c r="R45" s="97">
        <v>2754</v>
      </c>
      <c r="S45" s="97">
        <v>2694.4199936812106</v>
      </c>
      <c r="T45" s="97">
        <f t="shared" si="35"/>
        <v>2754</v>
      </c>
      <c r="U45" s="97">
        <v>1</v>
      </c>
      <c r="V45" s="97">
        <v>1</v>
      </c>
      <c r="W45" s="97">
        <f t="shared" si="36"/>
        <v>1</v>
      </c>
      <c r="X45" s="97">
        <v>10446.381585279727</v>
      </c>
      <c r="Y45" s="97">
        <f>'Price &amp; GCV of fuels'!AH63</f>
        <v>9775.4216276073967</v>
      </c>
      <c r="Z45" s="97">
        <f t="shared" si="37"/>
        <v>9775.4216276073967</v>
      </c>
      <c r="AA45" s="97">
        <v>3945.7719000699535</v>
      </c>
      <c r="AB45" s="97">
        <f>'Price &amp; GCV of fuels'!AJ63</f>
        <v>3221.311995213523</v>
      </c>
      <c r="AC45" s="97">
        <f>'Price &amp; GCV of fuels'!AK63</f>
        <v>3333.6270004487324</v>
      </c>
      <c r="AD45" s="97">
        <v>44166.260201150908</v>
      </c>
      <c r="AE45" s="97">
        <f>'Price &amp; GCV of fuels'!AI63</f>
        <v>43516.183772749893</v>
      </c>
      <c r="AF45" s="97">
        <f t="shared" si="38"/>
        <v>43516.183772749893</v>
      </c>
      <c r="AG45" s="97">
        <v>4403.9032176894552</v>
      </c>
      <c r="AH45" s="97">
        <f>'Price &amp; GCV of fuels'!AL63</f>
        <v>4359.2388535919245</v>
      </c>
      <c r="AI45" s="97">
        <f>'Price &amp; GCV of fuels'!AM63</f>
        <v>4364.31614586657</v>
      </c>
      <c r="AJ45" s="97">
        <f t="shared" si="39"/>
        <v>0.69531480478283114</v>
      </c>
      <c r="AK45" s="97">
        <f t="shared" si="39"/>
        <v>0.83340097948992764</v>
      </c>
      <c r="AL45" s="97">
        <f t="shared" si="39"/>
        <v>0.82319484993462022</v>
      </c>
      <c r="AM45" s="124">
        <f t="shared" si="40"/>
        <v>3.4804093739959407</v>
      </c>
      <c r="AN45" s="124">
        <f t="shared" si="40"/>
        <v>4.1471794280253915</v>
      </c>
      <c r="AO45" s="124">
        <f t="shared" si="40"/>
        <v>4.074172278472405</v>
      </c>
      <c r="AP45" s="97">
        <f t="shared" si="41"/>
        <v>1371.4285842791082</v>
      </c>
      <c r="AQ45" s="97">
        <f t="shared" si="42"/>
        <v>740.44729874216614</v>
      </c>
      <c r="AR45" s="97">
        <f t="shared" si="30"/>
        <v>729.86948204121916</v>
      </c>
      <c r="AT45" s="9"/>
      <c r="AU45" s="9"/>
      <c r="AV45" s="13">
        <f t="shared" si="43"/>
        <v>729.86948204121916</v>
      </c>
      <c r="AY45" s="128">
        <v>741.00945652400344</v>
      </c>
      <c r="AZ45" s="128">
        <v>729.86948204121916</v>
      </c>
    </row>
    <row r="46" spans="2:52" x14ac:dyDescent="0.35">
      <c r="B46" s="7" t="s">
        <v>154</v>
      </c>
      <c r="C46" s="105">
        <v>0.85</v>
      </c>
      <c r="D46" s="105">
        <v>0.35333632351406941</v>
      </c>
      <c r="E46" s="105">
        <f t="shared" si="31"/>
        <v>0.85</v>
      </c>
      <c r="F46" s="105">
        <v>0.50811666666666666</v>
      </c>
      <c r="G46" s="105">
        <v>0.35337405860766202</v>
      </c>
      <c r="H46" s="105"/>
      <c r="I46" s="97">
        <v>2991.1405440000003</v>
      </c>
      <c r="J46" s="97">
        <v>2070.9210000000003</v>
      </c>
      <c r="K46" s="97">
        <f t="shared" si="32"/>
        <v>2070.9210000000003</v>
      </c>
      <c r="L46" s="105">
        <v>3.1E-2</v>
      </c>
      <c r="M46" s="105">
        <v>2.7456168535641885E-2</v>
      </c>
      <c r="N46" s="105">
        <f t="shared" si="33"/>
        <v>3.1E-2</v>
      </c>
      <c r="O46" s="97">
        <f t="shared" si="34"/>
        <v>2898.4151871360004</v>
      </c>
      <c r="P46" s="97">
        <f t="shared" si="34"/>
        <v>2014.0614440000002</v>
      </c>
      <c r="Q46" s="97">
        <f t="shared" si="34"/>
        <v>2006.7224490000003</v>
      </c>
      <c r="R46" s="97">
        <v>2035</v>
      </c>
      <c r="S46" s="97">
        <v>2241.1124253307544</v>
      </c>
      <c r="T46" s="97">
        <f t="shared" si="35"/>
        <v>2035</v>
      </c>
      <c r="U46" s="97"/>
      <c r="V46" s="97"/>
      <c r="W46" s="97"/>
      <c r="X46" s="97"/>
      <c r="Y46" s="97"/>
      <c r="Z46" s="97">
        <f t="shared" si="37"/>
        <v>0</v>
      </c>
      <c r="AA46" s="97">
        <v>8365.74</v>
      </c>
      <c r="AB46" s="97">
        <f>'Price &amp; GCV of fuels'!AJ64</f>
        <v>8384.8484836871485</v>
      </c>
      <c r="AC46" s="97">
        <f>'Price &amp; GCV of fuels'!AK64</f>
        <v>8384.8484836871485</v>
      </c>
      <c r="AD46" s="97"/>
      <c r="AE46" s="97"/>
      <c r="AF46" s="97">
        <f t="shared" si="38"/>
        <v>0</v>
      </c>
      <c r="AG46" s="97">
        <v>11008.876650804594</v>
      </c>
      <c r="AH46" s="97">
        <f>'Price &amp; GCV of fuels'!AL64</f>
        <v>6813.5389000000005</v>
      </c>
      <c r="AI46" s="97">
        <f>'Price &amp; GCV of fuels'!AM64</f>
        <v>6813.5389000000005</v>
      </c>
      <c r="AJ46" s="97">
        <f t="shared" si="39"/>
        <v>0.2432540337136942</v>
      </c>
      <c r="AK46" s="97">
        <f t="shared" si="39"/>
        <v>0.26728120725030069</v>
      </c>
      <c r="AL46" s="97">
        <f t="shared" si="39"/>
        <v>0.24269967477159829</v>
      </c>
      <c r="AM46" s="124">
        <f t="shared" si="40"/>
        <v>2.763626059819114</v>
      </c>
      <c r="AN46" s="124">
        <f t="shared" si="40"/>
        <v>1.872543780465721</v>
      </c>
      <c r="AO46" s="124">
        <f t="shared" si="40"/>
        <v>1.7065466203030275</v>
      </c>
      <c r="AP46" s="97">
        <f t="shared" si="41"/>
        <v>801.01357433445446</v>
      </c>
      <c r="AQ46" s="97">
        <f t="shared" si="42"/>
        <v>377.14182304380091</v>
      </c>
      <c r="AR46" s="97">
        <f t="shared" si="30"/>
        <v>340.40578893667441</v>
      </c>
      <c r="AT46" s="9"/>
      <c r="AU46" s="9"/>
      <c r="AV46" s="13">
        <f t="shared" si="43"/>
        <v>340.40578893667441</v>
      </c>
      <c r="AY46" s="128">
        <v>377.14182304380091</v>
      </c>
      <c r="AZ46" s="128">
        <v>340.40578893667441</v>
      </c>
    </row>
    <row r="47" spans="2:52" x14ac:dyDescent="0.35">
      <c r="B47" s="7" t="s">
        <v>155</v>
      </c>
      <c r="C47" s="105">
        <v>0.85</v>
      </c>
      <c r="D47" s="105">
        <v>0.74996703827866051</v>
      </c>
      <c r="E47" s="105">
        <f t="shared" si="31"/>
        <v>0.85</v>
      </c>
      <c r="F47" s="105">
        <v>0.79890833333333344</v>
      </c>
      <c r="G47" s="105">
        <v>0.59236999999999995</v>
      </c>
      <c r="H47" s="105"/>
      <c r="I47" s="97">
        <v>3499.2185000000004</v>
      </c>
      <c r="J47" s="97">
        <v>2625.172</v>
      </c>
      <c r="K47" s="97">
        <f t="shared" si="32"/>
        <v>2625.172</v>
      </c>
      <c r="L47" s="105">
        <v>9.2999999999999999E-2</v>
      </c>
      <c r="M47" s="105">
        <v>0.11349142760931476</v>
      </c>
      <c r="N47" s="105">
        <f t="shared" si="33"/>
        <v>9.2999999999999999E-2</v>
      </c>
      <c r="O47" s="97">
        <f t="shared" si="34"/>
        <v>3173.7911795000005</v>
      </c>
      <c r="P47" s="97">
        <f t="shared" si="34"/>
        <v>2327.237482</v>
      </c>
      <c r="Q47" s="97">
        <f t="shared" si="34"/>
        <v>2381.0310039999999</v>
      </c>
      <c r="R47" s="97">
        <v>2430</v>
      </c>
      <c r="S47" s="97">
        <v>2761.2473029514304</v>
      </c>
      <c r="T47" s="97">
        <f t="shared" si="35"/>
        <v>2430</v>
      </c>
      <c r="U47" s="97">
        <v>0.5</v>
      </c>
      <c r="V47" s="97">
        <v>0.5</v>
      </c>
      <c r="W47" s="97">
        <f t="shared" ref="W47:W53" si="44">U47</f>
        <v>0.5</v>
      </c>
      <c r="X47" s="97">
        <v>10446.381585279727</v>
      </c>
      <c r="Y47" s="97">
        <f>'Price &amp; GCV of fuels'!AH65</f>
        <v>9454.3659578436018</v>
      </c>
      <c r="Z47" s="97">
        <f t="shared" si="37"/>
        <v>9454.3659578436018</v>
      </c>
      <c r="AA47" s="97">
        <v>3464.4131324727496</v>
      </c>
      <c r="AB47" s="97">
        <f>'Price &amp; GCV of fuels'!AJ65</f>
        <v>3198.2608120112604</v>
      </c>
      <c r="AC47" s="97">
        <f>'Price &amp; GCV of fuels'!AK65</f>
        <v>3316.5363953706601</v>
      </c>
      <c r="AD47" s="97">
        <v>41677.514565533122</v>
      </c>
      <c r="AE47" s="97">
        <f>'Price &amp; GCV of fuels'!AI65</f>
        <v>41045.365463420079</v>
      </c>
      <c r="AF47" s="97">
        <f t="shared" si="38"/>
        <v>41045.365463420079</v>
      </c>
      <c r="AG47" s="97">
        <v>3944.1667426863642</v>
      </c>
      <c r="AH47" s="97">
        <f>'Price &amp; GCV of fuels'!AL65</f>
        <v>3980.9056888733198</v>
      </c>
      <c r="AI47" s="97">
        <f>'Price &amp; GCV of fuels'!AM65</f>
        <v>3981.6999724886191</v>
      </c>
      <c r="AJ47" s="97">
        <f t="shared" si="39"/>
        <v>0.69990983075296753</v>
      </c>
      <c r="AK47" s="97">
        <f t="shared" si="39"/>
        <v>0.86188096656164859</v>
      </c>
      <c r="AL47" s="97">
        <f t="shared" si="39"/>
        <v>0.73126675781588302</v>
      </c>
      <c r="AM47" s="124">
        <f t="shared" si="40"/>
        <v>3.0665929819381068</v>
      </c>
      <c r="AN47" s="124">
        <f t="shared" si="40"/>
        <v>3.8934643534698874</v>
      </c>
      <c r="AO47" s="124">
        <f t="shared" si="40"/>
        <v>3.2328638502856148</v>
      </c>
      <c r="AP47" s="97">
        <f t="shared" si="41"/>
        <v>973.27257571917676</v>
      </c>
      <c r="AQ47" s="97">
        <f t="shared" si="42"/>
        <v>811.01848984969126</v>
      </c>
      <c r="AR47" s="97">
        <f t="shared" si="30"/>
        <v>766.85722836342086</v>
      </c>
      <c r="AT47" s="9"/>
      <c r="AU47" s="9"/>
      <c r="AV47" s="13">
        <f t="shared" si="43"/>
        <v>766.85722836342086</v>
      </c>
      <c r="AY47" s="128">
        <v>811.01848984969126</v>
      </c>
      <c r="AZ47" s="128">
        <v>766.85722836342086</v>
      </c>
    </row>
    <row r="48" spans="2:52" x14ac:dyDescent="0.35">
      <c r="B48" s="7" t="s">
        <v>156</v>
      </c>
      <c r="C48" s="105">
        <v>0.85</v>
      </c>
      <c r="D48" s="105">
        <v>0.77583022721101103</v>
      </c>
      <c r="E48" s="105">
        <f t="shared" si="31"/>
        <v>0.85</v>
      </c>
      <c r="F48" s="105">
        <v>0.7874633333333334</v>
      </c>
      <c r="G48" s="105">
        <v>0.3498</v>
      </c>
      <c r="H48" s="105"/>
      <c r="I48" s="97">
        <v>3449.0894000000003</v>
      </c>
      <c r="J48" s="97">
        <v>1819.873</v>
      </c>
      <c r="K48" s="97">
        <f t="shared" si="32"/>
        <v>1819.873</v>
      </c>
      <c r="L48" s="105">
        <v>9.2999999999999999E-2</v>
      </c>
      <c r="M48" s="105">
        <v>0.12258621570362462</v>
      </c>
      <c r="N48" s="105">
        <f t="shared" si="33"/>
        <v>9.2999999999999999E-2</v>
      </c>
      <c r="O48" s="97">
        <f t="shared" si="34"/>
        <v>3128.3240858000004</v>
      </c>
      <c r="P48" s="97">
        <f t="shared" si="34"/>
        <v>1596.7816558687975</v>
      </c>
      <c r="Q48" s="97">
        <f t="shared" si="34"/>
        <v>1650.6248110000001</v>
      </c>
      <c r="R48" s="97">
        <v>2430</v>
      </c>
      <c r="S48" s="97">
        <v>2485.0119081658454</v>
      </c>
      <c r="T48" s="97">
        <f t="shared" si="35"/>
        <v>2430</v>
      </c>
      <c r="U48" s="97">
        <v>0.5</v>
      </c>
      <c r="V48" s="97">
        <v>0.5</v>
      </c>
      <c r="W48" s="97">
        <f t="shared" si="44"/>
        <v>0.5</v>
      </c>
      <c r="X48" s="97">
        <v>10346</v>
      </c>
      <c r="Y48" s="97">
        <f>'Price &amp; GCV of fuels'!AH66</f>
        <v>9595.5846423596158</v>
      </c>
      <c r="Z48" s="97">
        <f t="shared" si="37"/>
        <v>9595.5846423596158</v>
      </c>
      <c r="AA48" s="97">
        <v>3193.89331061963</v>
      </c>
      <c r="AB48" s="97">
        <f>'Price &amp; GCV of fuels'!AJ66</f>
        <v>3229.8725280943654</v>
      </c>
      <c r="AC48" s="97">
        <f>'Price &amp; GCV of fuels'!AK66</f>
        <v>3288.3428652267476</v>
      </c>
      <c r="AD48" s="97">
        <v>42768.727011381372</v>
      </c>
      <c r="AE48" s="97">
        <f>'Price &amp; GCV of fuels'!AI66</f>
        <v>38246.12972925404</v>
      </c>
      <c r="AF48" s="97">
        <f t="shared" si="38"/>
        <v>38246.12972925404</v>
      </c>
      <c r="AG48" s="97">
        <v>4891.6672498550843</v>
      </c>
      <c r="AH48" s="97">
        <f>'Price &amp; GCV of fuels'!AL66</f>
        <v>4719.7062607903545</v>
      </c>
      <c r="AI48" s="97">
        <f>'Price &amp; GCV of fuels'!AM66</f>
        <v>4732.4478807946034</v>
      </c>
      <c r="AJ48" s="97">
        <f t="shared" si="39"/>
        <v>0.7592072634165643</v>
      </c>
      <c r="AK48" s="97">
        <f t="shared" si="39"/>
        <v>0.76789845242220733</v>
      </c>
      <c r="AL48" s="97">
        <f t="shared" si="39"/>
        <v>0.73751500590909047</v>
      </c>
      <c r="AM48" s="124">
        <f t="shared" si="40"/>
        <v>4.118162811259757</v>
      </c>
      <c r="AN48" s="124">
        <f t="shared" si="40"/>
        <v>4.1524059270788394</v>
      </c>
      <c r="AO48" s="124">
        <f t="shared" si="40"/>
        <v>3.8692110161337614</v>
      </c>
      <c r="AP48" s="97">
        <f t="shared" si="41"/>
        <v>1288.2947911709739</v>
      </c>
      <c r="AQ48" s="97">
        <f t="shared" si="42"/>
        <v>593.63384885112782</v>
      </c>
      <c r="AR48" s="97">
        <f t="shared" si="30"/>
        <v>615.62692735477515</v>
      </c>
      <c r="AT48" s="9"/>
      <c r="AU48" s="9"/>
      <c r="AV48" s="13">
        <f t="shared" si="43"/>
        <v>615.62692735477515</v>
      </c>
      <c r="AY48" s="128">
        <v>593.63384885112782</v>
      </c>
      <c r="AZ48" s="128">
        <v>615.62692735477515</v>
      </c>
    </row>
    <row r="49" spans="2:59" x14ac:dyDescent="0.35">
      <c r="B49" s="7" t="s">
        <v>8</v>
      </c>
      <c r="C49" s="105">
        <v>0.85</v>
      </c>
      <c r="D49" s="105">
        <v>0.82849596436365047</v>
      </c>
      <c r="E49" s="105">
        <f t="shared" si="31"/>
        <v>0.85</v>
      </c>
      <c r="F49" s="105">
        <v>0.81423156980454459</v>
      </c>
      <c r="G49" s="105">
        <v>0.78930000000000011</v>
      </c>
      <c r="H49" s="105"/>
      <c r="I49" s="97">
        <v>3566.3342757439054</v>
      </c>
      <c r="J49" s="97">
        <v>3448.26</v>
      </c>
      <c r="K49" s="97">
        <f t="shared" si="32"/>
        <v>3448.26</v>
      </c>
      <c r="L49" s="105">
        <v>0.06</v>
      </c>
      <c r="M49" s="105">
        <v>5.7533062516747571E-2</v>
      </c>
      <c r="N49" s="105">
        <f t="shared" si="33"/>
        <v>0.06</v>
      </c>
      <c r="O49" s="97">
        <f t="shared" si="34"/>
        <v>3352.354219199271</v>
      </c>
      <c r="P49" s="97">
        <f t="shared" si="34"/>
        <v>3249.871041846</v>
      </c>
      <c r="Q49" s="97">
        <f t="shared" si="34"/>
        <v>3241.3643999999999</v>
      </c>
      <c r="R49" s="97">
        <v>2375</v>
      </c>
      <c r="S49" s="97">
        <v>2537.339762837566</v>
      </c>
      <c r="T49" s="97">
        <f t="shared" si="35"/>
        <v>2375</v>
      </c>
      <c r="U49" s="97">
        <v>0.5</v>
      </c>
      <c r="V49" s="97">
        <v>0.5</v>
      </c>
      <c r="W49" s="97">
        <f t="shared" si="44"/>
        <v>0.5</v>
      </c>
      <c r="X49" s="97">
        <v>10500.369112605771</v>
      </c>
      <c r="Y49" s="97">
        <f>'Price &amp; GCV of fuels'!AH67</f>
        <v>9440.1530545385467</v>
      </c>
      <c r="Z49" s="97">
        <f t="shared" si="37"/>
        <v>9440.1530545385467</v>
      </c>
      <c r="AA49" s="97">
        <v>3577.9326989453457</v>
      </c>
      <c r="AB49" s="97">
        <f>'Price &amp; GCV of fuels'!AJ67</f>
        <v>2895.6994108294166</v>
      </c>
      <c r="AC49" s="97">
        <f>'Price &amp; GCV of fuels'!AK67</f>
        <v>3115.3199033472201</v>
      </c>
      <c r="AD49" s="97">
        <v>46898.242889664158</v>
      </c>
      <c r="AE49" s="97">
        <f>'Price &amp; GCV of fuels'!AI67</f>
        <v>44106.02046377481</v>
      </c>
      <c r="AF49" s="97">
        <f t="shared" si="38"/>
        <v>44106.02046377481</v>
      </c>
      <c r="AG49" s="97">
        <v>3540.9375087892117</v>
      </c>
      <c r="AH49" s="97">
        <f>'Price &amp; GCV of fuels'!AL67</f>
        <v>3195.4005762778488</v>
      </c>
      <c r="AI49" s="97">
        <f>'Price &amp; GCV of fuels'!AM67</f>
        <v>3173.4975531914538</v>
      </c>
      <c r="AJ49" s="97">
        <f t="shared" si="39"/>
        <v>0.66232375364193397</v>
      </c>
      <c r="AK49" s="97">
        <f t="shared" si="39"/>
        <v>0.87461415257354957</v>
      </c>
      <c r="AL49" s="97">
        <f t="shared" si="39"/>
        <v>0.76084639684226663</v>
      </c>
      <c r="AM49" s="124">
        <f t="shared" si="40"/>
        <v>2.5198895145506617</v>
      </c>
      <c r="AN49" s="124">
        <f t="shared" si="40"/>
        <v>2.9887473664679347</v>
      </c>
      <c r="AO49" s="124">
        <f t="shared" si="40"/>
        <v>2.5921246691120792</v>
      </c>
      <c r="AP49" s="97">
        <f t="shared" si="41"/>
        <v>844.75622460199133</v>
      </c>
      <c r="AQ49" s="97">
        <f t="shared" si="42"/>
        <v>943.22370337934512</v>
      </c>
      <c r="AR49" s="97">
        <f t="shared" si="30"/>
        <v>827.26516486526964</v>
      </c>
      <c r="AT49" s="9"/>
      <c r="AU49" s="9"/>
      <c r="AV49" s="13">
        <f t="shared" si="43"/>
        <v>827.26516486526964</v>
      </c>
      <c r="AY49" s="128">
        <v>943.22370337934512</v>
      </c>
      <c r="AZ49" s="128">
        <v>827.26516486526964</v>
      </c>
    </row>
    <row r="50" spans="2:59" x14ac:dyDescent="0.35">
      <c r="B50" s="7" t="s">
        <v>157</v>
      </c>
      <c r="C50" s="105">
        <v>0.85</v>
      </c>
      <c r="D50" s="105">
        <v>0.77809702374267975</v>
      </c>
      <c r="E50" s="105">
        <f t="shared" si="31"/>
        <v>0.85</v>
      </c>
      <c r="F50" s="105">
        <v>0.85</v>
      </c>
      <c r="G50" s="105">
        <v>0.6417813926940642</v>
      </c>
      <c r="H50" s="105"/>
      <c r="I50" s="97">
        <v>7446</v>
      </c>
      <c r="J50" s="97">
        <v>5622.0049999999992</v>
      </c>
      <c r="K50" s="97">
        <f t="shared" si="32"/>
        <v>5622.0049999999992</v>
      </c>
      <c r="L50" s="105">
        <v>0.06</v>
      </c>
      <c r="M50" s="105">
        <v>6.4529575719852184E-2</v>
      </c>
      <c r="N50" s="105">
        <f t="shared" si="33"/>
        <v>0.06</v>
      </c>
      <c r="O50" s="97">
        <f t="shared" si="34"/>
        <v>6999.24</v>
      </c>
      <c r="P50" s="97">
        <f t="shared" si="34"/>
        <v>5259.2194026551115</v>
      </c>
      <c r="Q50" s="97">
        <f t="shared" si="34"/>
        <v>5284.6846999999989</v>
      </c>
      <c r="R50" s="97">
        <v>2375</v>
      </c>
      <c r="S50" s="97">
        <v>2537.0050693549633</v>
      </c>
      <c r="T50" s="97">
        <f t="shared" si="35"/>
        <v>2375</v>
      </c>
      <c r="U50" s="97">
        <v>0.5</v>
      </c>
      <c r="V50" s="97">
        <v>0.5</v>
      </c>
      <c r="W50" s="97">
        <f t="shared" si="44"/>
        <v>0.5</v>
      </c>
      <c r="X50" s="97">
        <v>9844.0694151565749</v>
      </c>
      <c r="Y50" s="97">
        <f>'Price &amp; GCV of fuels'!AH68</f>
        <v>9616.8060444500898</v>
      </c>
      <c r="Z50" s="97">
        <f t="shared" si="37"/>
        <v>9616.8060444500898</v>
      </c>
      <c r="AA50" s="97">
        <v>3684.6182398533792</v>
      </c>
      <c r="AB50" s="97">
        <f>'Price &amp; GCV of fuels'!AJ68</f>
        <v>3137.5984723461515</v>
      </c>
      <c r="AC50" s="97">
        <f>'Price &amp; GCV of fuels'!AK68</f>
        <v>3439.7199047418294</v>
      </c>
      <c r="AD50" s="97">
        <v>40782.969767441857</v>
      </c>
      <c r="AE50" s="97">
        <f>'Price &amp; GCV of fuels'!AI68</f>
        <v>40713.868678135652</v>
      </c>
      <c r="AF50" s="97">
        <f t="shared" si="38"/>
        <v>40713.868678135652</v>
      </c>
      <c r="AG50" s="97">
        <v>4864.3601550798057</v>
      </c>
      <c r="AH50" s="97">
        <f>'Price &amp; GCV of fuels'!AL68</f>
        <v>3986.3920127666393</v>
      </c>
      <c r="AI50" s="97">
        <f>'Price &amp; GCV of fuels'!AM68</f>
        <v>3986.6000386020255</v>
      </c>
      <c r="AJ50" s="97">
        <f t="shared" si="39"/>
        <v>0.64323569254944934</v>
      </c>
      <c r="AK50" s="97">
        <f t="shared" si="39"/>
        <v>0.80704930495433291</v>
      </c>
      <c r="AL50" s="97">
        <f t="shared" si="39"/>
        <v>0.68906529095882052</v>
      </c>
      <c r="AM50" s="124">
        <f t="shared" si="40"/>
        <v>3.3503420830281132</v>
      </c>
      <c r="AN50" s="124">
        <f t="shared" si="40"/>
        <v>3.4609024010665292</v>
      </c>
      <c r="AO50" s="124">
        <f t="shared" si="40"/>
        <v>2.944026223271083</v>
      </c>
      <c r="AP50" s="97">
        <f t="shared" si="41"/>
        <v>2344.984832121369</v>
      </c>
      <c r="AQ50" s="97">
        <f t="shared" si="42"/>
        <v>1706.478116433138</v>
      </c>
      <c r="AR50" s="97">
        <f t="shared" si="30"/>
        <v>1555.8250338519472</v>
      </c>
      <c r="AT50" s="9"/>
      <c r="AU50" s="9"/>
      <c r="AV50" s="13">
        <f t="shared" si="43"/>
        <v>1555.8250338519472</v>
      </c>
      <c r="AY50" s="128">
        <v>1706.478116433138</v>
      </c>
      <c r="AZ50" s="128">
        <v>1557.0527616532638</v>
      </c>
    </row>
    <row r="51" spans="2:59" x14ac:dyDescent="0.35">
      <c r="B51" s="7" t="s">
        <v>158</v>
      </c>
      <c r="C51" s="105">
        <v>0.85</v>
      </c>
      <c r="D51" s="105">
        <v>0.62995668768420143</v>
      </c>
      <c r="E51" s="105">
        <f t="shared" si="31"/>
        <v>0.85</v>
      </c>
      <c r="F51" s="105">
        <v>0.60016582062600443</v>
      </c>
      <c r="G51" s="105">
        <v>0.6254093445874267</v>
      </c>
      <c r="H51" s="105"/>
      <c r="I51" s="97">
        <v>10409.756125593922</v>
      </c>
      <c r="J51" s="97">
        <v>10847.599999999999</v>
      </c>
      <c r="K51" s="97">
        <f t="shared" si="32"/>
        <v>10847.599999999999</v>
      </c>
      <c r="L51" s="105">
        <v>0.06</v>
      </c>
      <c r="M51" s="105">
        <v>7.5277388546775334E-2</v>
      </c>
      <c r="N51" s="105">
        <f t="shared" si="33"/>
        <v>0.06</v>
      </c>
      <c r="O51" s="97">
        <f t="shared" si="34"/>
        <v>9785.1707580582861</v>
      </c>
      <c r="P51" s="97">
        <f t="shared" si="34"/>
        <v>10031.020999999999</v>
      </c>
      <c r="Q51" s="97">
        <f t="shared" si="34"/>
        <v>10196.743999999999</v>
      </c>
      <c r="R51" s="97">
        <v>2230</v>
      </c>
      <c r="S51" s="97">
        <v>2582.0536249273091</v>
      </c>
      <c r="T51" s="97">
        <f t="shared" si="35"/>
        <v>2230</v>
      </c>
      <c r="U51" s="97">
        <v>0.5</v>
      </c>
      <c r="V51" s="97">
        <v>0.5</v>
      </c>
      <c r="W51" s="97">
        <f t="shared" si="44"/>
        <v>0.5</v>
      </c>
      <c r="X51" s="97">
        <v>10520.504355722594</v>
      </c>
      <c r="Y51" s="97">
        <f>'Price &amp; GCV of fuels'!AH69</f>
        <v>9551.35077508209</v>
      </c>
      <c r="Z51" s="97">
        <f t="shared" si="37"/>
        <v>9551.35077508209</v>
      </c>
      <c r="AA51" s="97">
        <v>3512.9609700008054</v>
      </c>
      <c r="AB51" s="97">
        <f>'Price &amp; GCV of fuels'!AJ69</f>
        <v>3253.2616779830778</v>
      </c>
      <c r="AC51" s="97">
        <f>'Price &amp; GCV of fuels'!AK69</f>
        <v>3253.2616779830778</v>
      </c>
      <c r="AD51" s="97">
        <v>48115.570852892146</v>
      </c>
      <c r="AE51" s="97">
        <f>'Price &amp; GCV of fuels'!AI69</f>
        <v>43595.829951705899</v>
      </c>
      <c r="AF51" s="97">
        <f t="shared" si="38"/>
        <v>43595.829951705899</v>
      </c>
      <c r="AG51" s="97">
        <v>3435.2304961395998</v>
      </c>
      <c r="AH51" s="97">
        <f>'Price &amp; GCV of fuels'!AL69</f>
        <v>3685.5273697367315</v>
      </c>
      <c r="AI51" s="97">
        <f>'Price &amp; GCV of fuels'!AM69</f>
        <v>3685.5273697367315</v>
      </c>
      <c r="AJ51" s="97">
        <f t="shared" si="39"/>
        <v>0.63329475243831945</v>
      </c>
      <c r="AK51" s="97">
        <f t="shared" si="39"/>
        <v>0.7922135397167317</v>
      </c>
      <c r="AL51" s="97">
        <f t="shared" si="39"/>
        <v>0.68399795186227674</v>
      </c>
      <c r="AM51" s="124">
        <f t="shared" si="40"/>
        <v>2.339969395795467</v>
      </c>
      <c r="AN51" s="124">
        <f t="shared" si="40"/>
        <v>3.1809783407969325</v>
      </c>
      <c r="AO51" s="124">
        <f t="shared" si="40"/>
        <v>2.7049905185192999</v>
      </c>
      <c r="AP51" s="97">
        <f t="shared" si="41"/>
        <v>2289.7000106489118</v>
      </c>
      <c r="AQ51" s="97">
        <f t="shared" si="42"/>
        <v>3009.7877945098576</v>
      </c>
      <c r="AR51" s="97">
        <f t="shared" si="30"/>
        <v>2516.880872841461</v>
      </c>
      <c r="AT51" s="9"/>
      <c r="AU51" s="9"/>
      <c r="AV51" s="13">
        <f t="shared" si="43"/>
        <v>2516.880872841461</v>
      </c>
      <c r="AY51" s="128">
        <v>3009.7877945098576</v>
      </c>
      <c r="AZ51" s="128">
        <v>2516.880872841461</v>
      </c>
    </row>
    <row r="52" spans="2:59" x14ac:dyDescent="0.35">
      <c r="B52" s="7" t="s">
        <v>159</v>
      </c>
      <c r="C52" s="105">
        <v>0.85</v>
      </c>
      <c r="D52" s="105">
        <v>0.74803308923192136</v>
      </c>
      <c r="E52" s="105">
        <f t="shared" si="31"/>
        <v>0.85</v>
      </c>
      <c r="F52" s="105">
        <v>0.83125499999999997</v>
      </c>
      <c r="G52" s="105">
        <v>0.74587427754180602</v>
      </c>
      <c r="H52" s="105"/>
      <c r="I52" s="97">
        <v>7281.7937999999995</v>
      </c>
      <c r="J52" s="97">
        <v>6335.1530000000002</v>
      </c>
      <c r="K52" s="97">
        <f t="shared" si="32"/>
        <v>6335.1530000000002</v>
      </c>
      <c r="L52" s="105">
        <v>0.06</v>
      </c>
      <c r="M52" s="105">
        <v>5.4973237426152136E-2</v>
      </c>
      <c r="N52" s="105">
        <f t="shared" si="33"/>
        <v>0.06</v>
      </c>
      <c r="O52" s="97">
        <f t="shared" si="34"/>
        <v>6844.8861719999995</v>
      </c>
      <c r="P52" s="97">
        <f t="shared" si="34"/>
        <v>5986.8891300000005</v>
      </c>
      <c r="Q52" s="97">
        <f t="shared" si="34"/>
        <v>5955.0438199999999</v>
      </c>
      <c r="R52" s="97">
        <v>2375</v>
      </c>
      <c r="S52" s="97">
        <v>2419.4457156143703</v>
      </c>
      <c r="T52" s="97">
        <f t="shared" si="35"/>
        <v>2375</v>
      </c>
      <c r="U52" s="97">
        <v>0.5</v>
      </c>
      <c r="V52" s="97">
        <v>0.5</v>
      </c>
      <c r="W52" s="97">
        <f t="shared" si="44"/>
        <v>0.5</v>
      </c>
      <c r="X52" s="97">
        <v>10354.860804599088</v>
      </c>
      <c r="Y52" s="97">
        <f>'Price &amp; GCV of fuels'!AH70</f>
        <v>9531.6575735992101</v>
      </c>
      <c r="Z52" s="97">
        <f t="shared" si="37"/>
        <v>9531.6575735992101</v>
      </c>
      <c r="AA52" s="97">
        <v>3769.9295002858707</v>
      </c>
      <c r="AB52" s="97">
        <f>'Price &amp; GCV of fuels'!AJ70</f>
        <v>3306.2437776251218</v>
      </c>
      <c r="AC52" s="97">
        <f>'Price &amp; GCV of fuels'!AK70</f>
        <v>3378.8969754757168</v>
      </c>
      <c r="AD52" s="97">
        <v>46023.761031212263</v>
      </c>
      <c r="AE52" s="97">
        <f>'Price &amp; GCV of fuels'!AI70</f>
        <v>44613.733983422571</v>
      </c>
      <c r="AF52" s="97">
        <f t="shared" si="38"/>
        <v>44613.733983422571</v>
      </c>
      <c r="AG52" s="97">
        <v>3720.0353121359585</v>
      </c>
      <c r="AH52" s="97">
        <f>'Price &amp; GCV of fuels'!AL70</f>
        <v>3690.6454190207569</v>
      </c>
      <c r="AI52" s="97">
        <f>'Price &amp; GCV of fuels'!AM70</f>
        <v>3699.3723432463862</v>
      </c>
      <c r="AJ52" s="97">
        <f t="shared" si="39"/>
        <v>0.62861190624864427</v>
      </c>
      <c r="AK52" s="97">
        <f t="shared" si="39"/>
        <v>0.73033933649080085</v>
      </c>
      <c r="AL52" s="97">
        <f t="shared" si="39"/>
        <v>0.70148163392270746</v>
      </c>
      <c r="AM52" s="124">
        <f t="shared" si="40"/>
        <v>2.5122025206272993</v>
      </c>
      <c r="AN52" s="124">
        <f t="shared" si="40"/>
        <v>2.8758237344942605</v>
      </c>
      <c r="AO52" s="124">
        <f t="shared" si="40"/>
        <v>2.784413428532619</v>
      </c>
      <c r="AP52" s="97">
        <f t="shared" si="41"/>
        <v>1719.5740294705345</v>
      </c>
      <c r="AQ52" s="97">
        <f t="shared" si="42"/>
        <v>1619.8346128192372</v>
      </c>
      <c r="AR52" s="97">
        <f t="shared" si="30"/>
        <v>1614.3606663710668</v>
      </c>
      <c r="AT52" s="9"/>
      <c r="AU52" s="9"/>
      <c r="AV52" s="13">
        <f t="shared" si="43"/>
        <v>1614.3606663710668</v>
      </c>
      <c r="AY52" s="128">
        <v>1619.8346128192372</v>
      </c>
      <c r="AZ52" s="128">
        <v>1614.3606663710668</v>
      </c>
    </row>
    <row r="53" spans="2:59" x14ac:dyDescent="0.35">
      <c r="B53" s="7" t="s">
        <v>160</v>
      </c>
      <c r="C53" s="105">
        <v>0.85</v>
      </c>
      <c r="D53" s="105">
        <v>0.80321608143949785</v>
      </c>
      <c r="E53" s="105">
        <f t="shared" si="31"/>
        <v>0.85</v>
      </c>
      <c r="F53" s="105">
        <v>0.73714333333333326</v>
      </c>
      <c r="G53" s="105">
        <v>0.50070000000000003</v>
      </c>
      <c r="H53" s="105"/>
      <c r="I53" s="97">
        <v>1614.3438999999998</v>
      </c>
      <c r="J53" s="97">
        <v>1130.048</v>
      </c>
      <c r="K53" s="97">
        <f t="shared" si="32"/>
        <v>1130.048</v>
      </c>
      <c r="L53" s="105">
        <v>8.5000000000000006E-2</v>
      </c>
      <c r="M53" s="105">
        <v>0.1116</v>
      </c>
      <c r="N53" s="105">
        <f t="shared" si="33"/>
        <v>8.5000000000000006E-2</v>
      </c>
      <c r="O53" s="97">
        <f t="shared" si="34"/>
        <v>1477.1246684999999</v>
      </c>
      <c r="P53" s="97">
        <f t="shared" si="34"/>
        <v>1003.9346432</v>
      </c>
      <c r="Q53" s="97">
        <f t="shared" si="34"/>
        <v>1033.9939200000001</v>
      </c>
      <c r="R53" s="97">
        <v>2430</v>
      </c>
      <c r="S53" s="97">
        <v>2448.0173750122699</v>
      </c>
      <c r="T53" s="97">
        <f t="shared" si="35"/>
        <v>2430</v>
      </c>
      <c r="U53" s="97">
        <v>0.5</v>
      </c>
      <c r="V53" s="97">
        <v>0.5</v>
      </c>
      <c r="W53" s="97">
        <f t="shared" si="44"/>
        <v>0.5</v>
      </c>
      <c r="X53" s="97">
        <v>10346</v>
      </c>
      <c r="Y53" s="97">
        <f>'Price &amp; GCV of fuels'!AH71</f>
        <v>9502.4968712703194</v>
      </c>
      <c r="Z53" s="97">
        <f t="shared" si="37"/>
        <v>9502.4968712703194</v>
      </c>
      <c r="AA53" s="97">
        <v>3270.5635436145244</v>
      </c>
      <c r="AB53" s="97">
        <f>'Price &amp; GCV of fuels'!AJ71</f>
        <v>3232.3757041800595</v>
      </c>
      <c r="AC53" s="97">
        <f>'Price &amp; GCV of fuels'!AK71</f>
        <v>3281.3159888921109</v>
      </c>
      <c r="AD53" s="97">
        <v>42772.221436598717</v>
      </c>
      <c r="AE53" s="97">
        <f>'Price &amp; GCV of fuels'!AI71</f>
        <v>39526.297366124149</v>
      </c>
      <c r="AF53" s="97">
        <f t="shared" si="38"/>
        <v>39526.297366124149</v>
      </c>
      <c r="AG53" s="97">
        <v>4837.8879366653682</v>
      </c>
      <c r="AH53" s="97">
        <f>'Price &amp; GCV of fuels'!AL71</f>
        <v>4725.5853714109944</v>
      </c>
      <c r="AI53" s="97">
        <f>'Price &amp; GCV of fuels'!AM71</f>
        <v>4738.3356514209254</v>
      </c>
      <c r="AJ53" s="97">
        <f t="shared" si="39"/>
        <v>0.741409536204931</v>
      </c>
      <c r="AK53" s="97">
        <f t="shared" si="39"/>
        <v>0.75587318745684162</v>
      </c>
      <c r="AL53" s="97">
        <f t="shared" si="39"/>
        <v>0.73910856490941457</v>
      </c>
      <c r="AM53" s="124">
        <f t="shared" si="40"/>
        <v>3.9434342754675415</v>
      </c>
      <c r="AN53" s="124">
        <f t="shared" si="40"/>
        <v>4.0428933205435769</v>
      </c>
      <c r="AO53" s="124">
        <f t="shared" si="40"/>
        <v>3.8490793574468829</v>
      </c>
      <c r="AP53" s="97">
        <f t="shared" si="41"/>
        <v>582.49440469015303</v>
      </c>
      <c r="AQ53" s="97">
        <f t="shared" si="42"/>
        <v>364.24934410090026</v>
      </c>
      <c r="AR53" s="97">
        <f t="shared" si="30"/>
        <v>383.26689260244586</v>
      </c>
      <c r="AT53" s="9"/>
      <c r="AU53" s="9"/>
      <c r="AV53" s="13">
        <f t="shared" si="43"/>
        <v>383.26689260244586</v>
      </c>
      <c r="AY53" s="128">
        <v>364.24934410090026</v>
      </c>
      <c r="AZ53" s="128">
        <v>383.26689260244586</v>
      </c>
    </row>
    <row r="54" spans="2:59" x14ac:dyDescent="0.35">
      <c r="B54" s="12" t="s">
        <v>27</v>
      </c>
      <c r="C54" s="7"/>
      <c r="D54" s="7"/>
      <c r="E54" s="7"/>
      <c r="F54" s="7"/>
      <c r="G54" s="7"/>
      <c r="H54" s="7"/>
      <c r="I54" s="98">
        <f>SUM(I41:I53)</f>
        <v>63580.13541092143</v>
      </c>
      <c r="J54" s="98">
        <f>SUM(J41:J53)</f>
        <v>49697.298999999992</v>
      </c>
      <c r="K54" s="98">
        <f>SUM(K41:K53)</f>
        <v>49697.298999999992</v>
      </c>
      <c r="L54" s="126">
        <f>SUMPRODUCT(I41:I53,L41:L53)/I54</f>
        <v>7.4268219205816874E-2</v>
      </c>
      <c r="M54" s="126">
        <f>SUMPRODUCT(J41:J53,M41:M53)/J54</f>
        <v>8.3741891558922477E-2</v>
      </c>
      <c r="N54" s="126">
        <f>SUMPRODUCT(K41:K53,N41:N53)/K54</f>
        <v>7.1526106483171245E-2</v>
      </c>
      <c r="O54" s="98">
        <f>SUM(O41:O53)</f>
        <v>58858.151977087604</v>
      </c>
      <c r="P54" s="98">
        <f>SUM(P41:P53)</f>
        <v>45535.55317637066</v>
      </c>
      <c r="Q54" s="98">
        <f>SUM(Q41:Q53)</f>
        <v>46142.644699799996</v>
      </c>
      <c r="R54" s="98">
        <f>SUMPRODUCT(I41:I53,R41:R53)/I54</f>
        <v>2458.2052775285692</v>
      </c>
      <c r="S54" s="98">
        <f>SUMPRODUCT(J41:J53,S41:S53)/J54</f>
        <v>2562.9437287012483</v>
      </c>
      <c r="T54" s="98">
        <f>SUMPRODUCT(K41:K53,T41:T53)/K54</f>
        <v>2433.091087908017</v>
      </c>
      <c r="U54" s="98">
        <f>SUMPRODUCT(I41:I53,U41:U53)/I54</f>
        <v>0.72087380193959816</v>
      </c>
      <c r="V54" s="98">
        <f>SUMPRODUCT(J41:J53,V41:V53)/J54</f>
        <v>1.3542610610300001</v>
      </c>
      <c r="W54" s="98">
        <f>SUMPRODUCT(K41:K53,W41:W53)/K54</f>
        <v>0.69003150714488537</v>
      </c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8">
        <f>SUM(AP41:AP53)</f>
        <v>17058.635836625552</v>
      </c>
      <c r="AQ54" s="98">
        <f>SUM(AQ41:AQ53)</f>
        <v>14383.811238629734</v>
      </c>
      <c r="AR54" s="98">
        <f>SUM(AR41:AR53)</f>
        <v>13169.398177289748</v>
      </c>
      <c r="AT54" s="98">
        <f t="shared" ref="AT54:AV54" si="45">SUM(AT41:AT53)</f>
        <v>0</v>
      </c>
      <c r="AU54" s="98">
        <f t="shared" si="45"/>
        <v>0</v>
      </c>
      <c r="AV54" s="98">
        <f t="shared" si="45"/>
        <v>13169.398177289748</v>
      </c>
      <c r="AY54" s="128">
        <v>14419.965522579963</v>
      </c>
      <c r="AZ54" s="128">
        <v>13170.625905091065</v>
      </c>
    </row>
    <row r="55" spans="2:59" x14ac:dyDescent="0.35">
      <c r="AQ55" s="91">
        <f>AQ54*10/P54</f>
        <v>3.1588089383514486</v>
      </c>
    </row>
    <row r="56" spans="2:59" x14ac:dyDescent="0.35">
      <c r="B56" s="3" t="s">
        <v>291</v>
      </c>
    </row>
    <row r="57" spans="2:59" x14ac:dyDescent="0.35">
      <c r="B57" s="187" t="s">
        <v>170</v>
      </c>
      <c r="C57" s="187" t="s">
        <v>273</v>
      </c>
      <c r="D57" s="187"/>
      <c r="E57" s="187"/>
      <c r="F57" s="187" t="s">
        <v>274</v>
      </c>
      <c r="G57" s="187"/>
      <c r="H57" s="187"/>
      <c r="I57" s="187" t="s">
        <v>275</v>
      </c>
      <c r="J57" s="187"/>
      <c r="K57" s="187"/>
      <c r="L57" s="187" t="s">
        <v>276</v>
      </c>
      <c r="M57" s="187"/>
      <c r="N57" s="187"/>
      <c r="O57" s="187" t="s">
        <v>277</v>
      </c>
      <c r="P57" s="187"/>
      <c r="Q57" s="187"/>
      <c r="R57" s="187" t="s">
        <v>278</v>
      </c>
      <c r="S57" s="187"/>
      <c r="T57" s="187"/>
      <c r="U57" s="187" t="s">
        <v>279</v>
      </c>
      <c r="V57" s="187"/>
      <c r="W57" s="187"/>
      <c r="X57" s="187" t="s">
        <v>280</v>
      </c>
      <c r="Y57" s="187"/>
      <c r="Z57" s="187"/>
      <c r="AA57" s="187" t="s">
        <v>281</v>
      </c>
      <c r="AB57" s="187"/>
      <c r="AC57" s="187"/>
      <c r="AD57" s="187" t="s">
        <v>282</v>
      </c>
      <c r="AE57" s="187"/>
      <c r="AF57" s="187"/>
      <c r="AG57" s="187" t="s">
        <v>283</v>
      </c>
      <c r="AH57" s="187"/>
      <c r="AI57" s="187"/>
      <c r="AJ57" s="187" t="s">
        <v>284</v>
      </c>
      <c r="AK57" s="187"/>
      <c r="AL57" s="187"/>
      <c r="AM57" s="187" t="s">
        <v>285</v>
      </c>
      <c r="AN57" s="187"/>
      <c r="AO57" s="187"/>
      <c r="AP57" s="187" t="s">
        <v>286</v>
      </c>
      <c r="AQ57" s="187"/>
      <c r="AR57" s="187"/>
    </row>
    <row r="58" spans="2:59" ht="30" x14ac:dyDescent="0.35">
      <c r="B58" s="187"/>
      <c r="C58" s="96" t="s">
        <v>172</v>
      </c>
      <c r="D58" s="6" t="s">
        <v>292</v>
      </c>
      <c r="E58" s="6" t="s">
        <v>132</v>
      </c>
      <c r="F58" s="96" t="s">
        <v>172</v>
      </c>
      <c r="G58" s="6" t="s">
        <v>292</v>
      </c>
      <c r="H58" s="6" t="s">
        <v>132</v>
      </c>
      <c r="I58" s="96" t="s">
        <v>172</v>
      </c>
      <c r="J58" s="6" t="s">
        <v>292</v>
      </c>
      <c r="K58" s="6" t="s">
        <v>132</v>
      </c>
      <c r="L58" s="96" t="s">
        <v>172</v>
      </c>
      <c r="M58" s="6" t="s">
        <v>292</v>
      </c>
      <c r="N58" s="6" t="s">
        <v>132</v>
      </c>
      <c r="O58" s="96" t="s">
        <v>172</v>
      </c>
      <c r="P58" s="6" t="s">
        <v>292</v>
      </c>
      <c r="Q58" s="6" t="s">
        <v>132</v>
      </c>
      <c r="R58" s="96" t="s">
        <v>172</v>
      </c>
      <c r="S58" s="6" t="s">
        <v>292</v>
      </c>
      <c r="T58" s="6" t="s">
        <v>132</v>
      </c>
      <c r="U58" s="96" t="s">
        <v>172</v>
      </c>
      <c r="V58" s="6" t="s">
        <v>292</v>
      </c>
      <c r="W58" s="6" t="s">
        <v>132</v>
      </c>
      <c r="X58" s="96" t="s">
        <v>172</v>
      </c>
      <c r="Y58" s="6" t="s">
        <v>292</v>
      </c>
      <c r="Z58" s="6" t="s">
        <v>132</v>
      </c>
      <c r="AA58" s="96" t="s">
        <v>172</v>
      </c>
      <c r="AB58" s="6" t="s">
        <v>292</v>
      </c>
      <c r="AC58" s="6" t="s">
        <v>132</v>
      </c>
      <c r="AD58" s="96" t="s">
        <v>172</v>
      </c>
      <c r="AE58" s="6" t="s">
        <v>292</v>
      </c>
      <c r="AF58" s="6" t="s">
        <v>132</v>
      </c>
      <c r="AG58" s="96" t="s">
        <v>172</v>
      </c>
      <c r="AH58" s="6" t="s">
        <v>292</v>
      </c>
      <c r="AI58" s="6" t="s">
        <v>132</v>
      </c>
      <c r="AJ58" s="96" t="s">
        <v>172</v>
      </c>
      <c r="AK58" s="6" t="s">
        <v>292</v>
      </c>
      <c r="AL58" s="6" t="s">
        <v>132</v>
      </c>
      <c r="AM58" s="96" t="s">
        <v>172</v>
      </c>
      <c r="AN58" s="6" t="s">
        <v>292</v>
      </c>
      <c r="AO58" s="6" t="s">
        <v>132</v>
      </c>
      <c r="AP58" s="96" t="s">
        <v>172</v>
      </c>
      <c r="AQ58" s="6" t="s">
        <v>292</v>
      </c>
      <c r="AR58" s="6" t="s">
        <v>132</v>
      </c>
      <c r="AT58" s="12" t="s">
        <v>287</v>
      </c>
      <c r="AU58" s="12" t="s">
        <v>288</v>
      </c>
      <c r="AV58" s="7"/>
    </row>
    <row r="59" spans="2:59" x14ac:dyDescent="0.35">
      <c r="B59" s="7" t="s">
        <v>43</v>
      </c>
      <c r="C59" s="105">
        <v>0.8</v>
      </c>
      <c r="D59" s="105">
        <v>0.62463156109562368</v>
      </c>
      <c r="E59" s="105">
        <f>C59</f>
        <v>0.8</v>
      </c>
      <c r="F59" s="105">
        <v>0.70149500000000009</v>
      </c>
      <c r="G59" s="105">
        <v>0.60659541396364525</v>
      </c>
      <c r="H59" s="105"/>
      <c r="I59" s="97">
        <v>1290.470202</v>
      </c>
      <c r="J59" s="97">
        <f>P59/(1-M59)</f>
        <v>1121.1973099537515</v>
      </c>
      <c r="K59" s="97">
        <v>1145.6976487747097</v>
      </c>
      <c r="L59" s="105">
        <v>0.1096</v>
      </c>
      <c r="M59" s="105">
        <v>0.12312903683886445</v>
      </c>
      <c r="N59" s="105">
        <f>L59</f>
        <v>0.1096</v>
      </c>
      <c r="O59" s="97">
        <f>I59*(1-L59)</f>
        <v>1149.0346678608</v>
      </c>
      <c r="P59" s="97">
        <v>983.14536507282037</v>
      </c>
      <c r="Q59" s="97">
        <f>K59*(1-N59)</f>
        <v>1020.1291864690015</v>
      </c>
      <c r="R59" s="97">
        <v>2787</v>
      </c>
      <c r="S59" s="97">
        <v>2935.9852816469615</v>
      </c>
      <c r="T59" s="97">
        <f>R59</f>
        <v>2787</v>
      </c>
      <c r="U59" s="97">
        <v>1.4</v>
      </c>
      <c r="V59" s="97">
        <v>3.5311745661366603</v>
      </c>
      <c r="W59" s="97">
        <f>U59</f>
        <v>1.4</v>
      </c>
      <c r="X59" s="97">
        <v>9830.5431413381302</v>
      </c>
      <c r="Y59" s="97">
        <f>Z59</f>
        <v>9549.2238828277314</v>
      </c>
      <c r="Z59" s="97">
        <f>'Price &amp; GCV of fuels'!H78</f>
        <v>9549.2238828277314</v>
      </c>
      <c r="AA59" s="97">
        <v>3939.9276719705058</v>
      </c>
      <c r="AB59" s="97">
        <v>3045.5348657710397</v>
      </c>
      <c r="AC59" s="97">
        <f>'Price &amp; GCV of fuels'!AB78</f>
        <v>3785.4501459564226</v>
      </c>
      <c r="AD59" s="97">
        <v>42027.20275994089</v>
      </c>
      <c r="AE59" s="97">
        <f>AF59</f>
        <v>57356.544074242738</v>
      </c>
      <c r="AF59" s="97">
        <f>'Price &amp; GCV of fuels'!K78</f>
        <v>57356.544074242738</v>
      </c>
      <c r="AG59" s="97">
        <v>5105.0592003479451</v>
      </c>
      <c r="AH59" s="97">
        <v>5406.387346215899</v>
      </c>
      <c r="AI59" s="97">
        <f>'Price &amp; GCV of fuels'!AF78</f>
        <v>5483.3036734939178</v>
      </c>
      <c r="AJ59" s="97">
        <f>(R59-U59*X59/1000)/AA59</f>
        <v>0.70388024108450864</v>
      </c>
      <c r="AK59" s="97">
        <f>(S59-V59*Y59/1000)/AB59</f>
        <v>0.95295750436625104</v>
      </c>
      <c r="AL59" s="97">
        <f>(T59-W59*Z59/1000)/AC59</f>
        <v>0.7327083912402873</v>
      </c>
      <c r="AM59" s="124">
        <f>(AJ59*AG59/1000+U59*AD59/10^6)/(1-L59)</f>
        <v>4.1017389763651364</v>
      </c>
      <c r="AN59" s="124">
        <f>(AK59*AH59/1000+V59*AE59/10^6)/(1-M59)</f>
        <v>6.1064781338182748</v>
      </c>
      <c r="AO59" s="124">
        <f>(AL59*AI59/1000+W59*AF59/10^6)/(1-N59)</f>
        <v>4.602382945857622</v>
      </c>
      <c r="AP59" s="97">
        <f>O59*AM59/10</f>
        <v>471.30402823594125</v>
      </c>
      <c r="AQ59" s="129">
        <v>529.17283830399481</v>
      </c>
      <c r="AR59" s="97">
        <f>Q59*AO59/10</f>
        <v>469.50251703765423</v>
      </c>
      <c r="AT59" s="9">
        <f>AR59*AZ59/BB59</f>
        <v>460.30266096137586</v>
      </c>
      <c r="AU59" s="9">
        <f>AR59*BA59/BB59</f>
        <v>9.1998560762784081</v>
      </c>
      <c r="AV59" s="13">
        <f>SUM(AT59:AU59)</f>
        <v>469.50251703765429</v>
      </c>
      <c r="AX59" s="91">
        <v>474.64390226046982</v>
      </c>
      <c r="AY59" s="91">
        <f>AR59-AX59</f>
        <v>-5.1413852228155861</v>
      </c>
      <c r="AZ59" s="91">
        <v>450.45925143199133</v>
      </c>
      <c r="BA59" s="91">
        <v>9.0031204093998642</v>
      </c>
      <c r="BB59" s="91">
        <v>459.46237184139119</v>
      </c>
      <c r="BD59" s="7" t="s">
        <v>43</v>
      </c>
      <c r="BE59" s="97">
        <v>328.04624883572916</v>
      </c>
      <c r="BF59" s="9">
        <v>278.99987651525004</v>
      </c>
      <c r="BG59" s="130">
        <v>7.6954569182061903</v>
      </c>
    </row>
    <row r="60" spans="2:59" x14ac:dyDescent="0.35">
      <c r="B60" s="7" t="s">
        <v>150</v>
      </c>
      <c r="C60" s="105">
        <v>0.8</v>
      </c>
      <c r="D60" s="105">
        <v>0.69669179034836737</v>
      </c>
      <c r="E60" s="105">
        <f t="shared" ref="E60:E71" si="46">C60</f>
        <v>0.8</v>
      </c>
      <c r="F60" s="105">
        <v>0.67538500000000001</v>
      </c>
      <c r="G60" s="105">
        <v>0.69008984313312205</v>
      </c>
      <c r="H60" s="105"/>
      <c r="I60" s="97">
        <v>11359.435391999999</v>
      </c>
      <c r="J60" s="97">
        <f t="shared" ref="J60:J71" si="47">P60/(1-M60)</f>
        <v>11800.581129611443</v>
      </c>
      <c r="K60" s="97">
        <v>11587.311668317452</v>
      </c>
      <c r="L60" s="105">
        <v>7.8E-2</v>
      </c>
      <c r="M60" s="105">
        <v>9.0863334104716101E-2</v>
      </c>
      <c r="N60" s="105">
        <f t="shared" ref="N60:N71" si="48">L60</f>
        <v>7.8E-2</v>
      </c>
      <c r="O60" s="97">
        <f t="shared" ref="O60:O71" si="49">I60*(1-L60)</f>
        <v>10473.399431424001</v>
      </c>
      <c r="P60" s="97">
        <v>10728.340983801749</v>
      </c>
      <c r="Q60" s="97">
        <f t="shared" ref="Q60:Q71" si="50">K60*(1-N60)</f>
        <v>10683.501358188691</v>
      </c>
      <c r="R60" s="97">
        <v>2688</v>
      </c>
      <c r="S60" s="97">
        <v>2717.3462758785595</v>
      </c>
      <c r="T60" s="97">
        <f t="shared" ref="T60:T71" si="51">R60</f>
        <v>2688</v>
      </c>
      <c r="U60" s="97">
        <v>1</v>
      </c>
      <c r="V60" s="97">
        <v>3.1895128524463048</v>
      </c>
      <c r="W60" s="97">
        <f t="shared" ref="W60:W63" si="52">U60</f>
        <v>1</v>
      </c>
      <c r="X60" s="97">
        <v>10333.74673749099</v>
      </c>
      <c r="Y60" s="97">
        <f t="shared" ref="Y60:Y71" si="53">Z60</f>
        <v>9641.818302771946</v>
      </c>
      <c r="Z60" s="97">
        <f>'Price &amp; GCV of fuels'!H79</f>
        <v>9641.818302771946</v>
      </c>
      <c r="AA60" s="97">
        <v>3674.1599251529533</v>
      </c>
      <c r="AB60" s="97">
        <v>3106.3679458366528</v>
      </c>
      <c r="AC60" s="97">
        <f>'Price &amp; GCV of fuels'!AB79</f>
        <v>3462.4570441457531</v>
      </c>
      <c r="AD60" s="97">
        <v>47115.320513112936</v>
      </c>
      <c r="AE60" s="97">
        <f t="shared" ref="AE60:AE71" si="54">AF60</f>
        <v>59796.292197579911</v>
      </c>
      <c r="AF60" s="97">
        <f>'Price &amp; GCV of fuels'!K79</f>
        <v>59796.292197579911</v>
      </c>
      <c r="AG60" s="97">
        <v>3298.1802841086305</v>
      </c>
      <c r="AH60" s="97">
        <v>4557.4670779797025</v>
      </c>
      <c r="AI60" s="97">
        <f>'Price &amp; GCV of fuels'!AF79</f>
        <v>4779.9429374619785</v>
      </c>
      <c r="AJ60" s="97">
        <f t="shared" ref="AJ60:AL71" si="55">(R60-U60*X60/1000)/AA60</f>
        <v>0.72878326142840377</v>
      </c>
      <c r="AK60" s="97">
        <f t="shared" si="55"/>
        <v>0.86486649982390396</v>
      </c>
      <c r="AL60" s="97">
        <f t="shared" si="55"/>
        <v>0.77354264545338924</v>
      </c>
      <c r="AM60" s="124">
        <f t="shared" ref="AM60:AO71" si="56">(AJ60*AG60/1000+U60*AD60/10^6)/(1-L60)</f>
        <v>2.6581061873586331</v>
      </c>
      <c r="AN60" s="124">
        <f t="shared" si="56"/>
        <v>4.5453250290135863</v>
      </c>
      <c r="AO60" s="124">
        <f t="shared" si="56"/>
        <v>4.0751475023407409</v>
      </c>
      <c r="AP60" s="97">
        <f t="shared" ref="AP60:AR71" si="57">O60*AM60/10</f>
        <v>2783.9407831346525</v>
      </c>
      <c r="AQ60" s="129">
        <v>4614.1644312518247</v>
      </c>
      <c r="AR60" s="97">
        <f t="shared" si="57"/>
        <v>4353.6843876076555</v>
      </c>
      <c r="AT60" s="9">
        <f t="shared" ref="AT60:AT71" si="58">AR60*AZ60/BB60</f>
        <v>4284.6184788653927</v>
      </c>
      <c r="AU60" s="9">
        <f t="shared" ref="AU60:AU71" si="59">AR60*BA60/BB60</f>
        <v>69.065908742262835</v>
      </c>
      <c r="AV60" s="13">
        <f t="shared" ref="AV60:AV71" si="60">SUM(AT60:AU60)</f>
        <v>4353.6843876076555</v>
      </c>
      <c r="AX60" s="91">
        <v>4380.5362269946063</v>
      </c>
      <c r="AY60" s="91">
        <f t="shared" ref="AY60:AY71" si="61">AR60-AX60</f>
        <v>-26.851839386950815</v>
      </c>
      <c r="AZ60" s="91">
        <v>4363.2448584875228</v>
      </c>
      <c r="BA60" s="91">
        <v>70.333326690092491</v>
      </c>
      <c r="BB60" s="91">
        <v>4433.5781851776155</v>
      </c>
      <c r="BD60" s="7" t="s">
        <v>150</v>
      </c>
      <c r="BE60" s="97">
        <v>3610.1500028202258</v>
      </c>
      <c r="BF60" s="9">
        <v>3201.6692285772497</v>
      </c>
      <c r="BG60" s="130">
        <v>4.8894291629069917</v>
      </c>
    </row>
    <row r="61" spans="2:59" x14ac:dyDescent="0.35">
      <c r="B61" s="7" t="s">
        <v>151</v>
      </c>
      <c r="C61" s="105">
        <v>0.85</v>
      </c>
      <c r="D61" s="105">
        <v>0.72104512638832441</v>
      </c>
      <c r="E61" s="105">
        <f t="shared" si="46"/>
        <v>0.85</v>
      </c>
      <c r="F61" s="105">
        <v>0.67230048889184746</v>
      </c>
      <c r="G61" s="105">
        <v>0.71003854493568475</v>
      </c>
      <c r="H61" s="105"/>
      <c r="I61" s="97">
        <v>4947.0559174617702</v>
      </c>
      <c r="J61" s="97">
        <f t="shared" si="47"/>
        <v>5267.2087405301527</v>
      </c>
      <c r="K61" s="97">
        <v>5249.5404435549854</v>
      </c>
      <c r="L61" s="105">
        <v>9.7000000000000003E-2</v>
      </c>
      <c r="M61" s="105">
        <v>0.10375808245951863</v>
      </c>
      <c r="N61" s="105">
        <f t="shared" si="48"/>
        <v>9.7000000000000003E-2</v>
      </c>
      <c r="O61" s="97">
        <f t="shared" si="49"/>
        <v>4467.1914934679789</v>
      </c>
      <c r="P61" s="97">
        <v>4720.6932616987278</v>
      </c>
      <c r="Q61" s="97">
        <f t="shared" si="50"/>
        <v>4740.3350205301522</v>
      </c>
      <c r="R61" s="97">
        <v>2630</v>
      </c>
      <c r="S61" s="97">
        <v>2680.7693531426785</v>
      </c>
      <c r="T61" s="97">
        <f t="shared" si="51"/>
        <v>2630</v>
      </c>
      <c r="U61" s="97">
        <v>1.2</v>
      </c>
      <c r="V61" s="97">
        <v>3.1446883581590832</v>
      </c>
      <c r="W61" s="97">
        <f t="shared" si="52"/>
        <v>1.2</v>
      </c>
      <c r="X61" s="97">
        <v>10475.928630431306</v>
      </c>
      <c r="Y61" s="97">
        <f t="shared" si="53"/>
        <v>9644.3588581047952</v>
      </c>
      <c r="Z61" s="97">
        <f>'Price &amp; GCV of fuels'!H80</f>
        <v>9644.3588581047952</v>
      </c>
      <c r="AA61" s="97">
        <v>3535.2628484992692</v>
      </c>
      <c r="AB61" s="97">
        <v>2897.9471884711684</v>
      </c>
      <c r="AC61" s="97">
        <f>'Price &amp; GCV of fuels'!AB80</f>
        <v>3435.5187039072252</v>
      </c>
      <c r="AD61" s="97">
        <v>48249.087957226446</v>
      </c>
      <c r="AE61" s="97">
        <f t="shared" si="54"/>
        <v>64212.515713130153</v>
      </c>
      <c r="AF61" s="97">
        <f>'Price &amp; GCV of fuels'!K80</f>
        <v>64212.515713130153</v>
      </c>
      <c r="AG61" s="97">
        <v>3513.8577399821556</v>
      </c>
      <c r="AH61" s="97">
        <v>4354.4533045350527</v>
      </c>
      <c r="AI61" s="97">
        <f>'Price &amp; GCV of fuels'!AF80</f>
        <v>4484.6989949072668</v>
      </c>
      <c r="AJ61" s="97">
        <f t="shared" si="55"/>
        <v>0.74037744796107297</v>
      </c>
      <c r="AK61" s="97">
        <f t="shared" si="55"/>
        <v>0.91459252972720528</v>
      </c>
      <c r="AL61" s="97">
        <f t="shared" si="55"/>
        <v>0.76216344460367214</v>
      </c>
      <c r="AM61" s="124">
        <f t="shared" si="56"/>
        <v>2.9451605000829719</v>
      </c>
      <c r="AN61" s="124">
        <f t="shared" si="56"/>
        <v>4.6689166530708333</v>
      </c>
      <c r="AO61" s="124">
        <f t="shared" si="56"/>
        <v>3.8705743663620211</v>
      </c>
      <c r="AP61" s="97">
        <f t="shared" si="57"/>
        <v>1315.6595932868552</v>
      </c>
      <c r="AQ61" s="129">
        <v>1952.9202935831577</v>
      </c>
      <c r="AR61" s="97">
        <f t="shared" si="57"/>
        <v>1834.7819218432192</v>
      </c>
      <c r="AT61" s="9">
        <f t="shared" si="58"/>
        <v>1794.3315780570006</v>
      </c>
      <c r="AU61" s="9">
        <f t="shared" si="59"/>
        <v>40.450343786218411</v>
      </c>
      <c r="AV61" s="13">
        <f t="shared" si="60"/>
        <v>1834.7819218432189</v>
      </c>
      <c r="AX61" s="91">
        <v>1856.89455077398</v>
      </c>
      <c r="AY61" s="91">
        <f t="shared" si="61"/>
        <v>-22.11262893076082</v>
      </c>
      <c r="AZ61" s="91">
        <v>1800.3707320617962</v>
      </c>
      <c r="BA61" s="91">
        <v>40.586486881875466</v>
      </c>
      <c r="BB61" s="91">
        <v>1840.9572189436717</v>
      </c>
      <c r="BD61" s="7" t="s">
        <v>151</v>
      </c>
      <c r="BE61" s="97">
        <v>1768.7382799462932</v>
      </c>
      <c r="BF61" s="9">
        <v>1567.1032799999998</v>
      </c>
      <c r="BG61" s="130">
        <v>4.721885299553402</v>
      </c>
    </row>
    <row r="62" spans="2:59" x14ac:dyDescent="0.35">
      <c r="B62" s="7" t="s">
        <v>44</v>
      </c>
      <c r="C62" s="105">
        <v>0.72</v>
      </c>
      <c r="D62" s="105">
        <v>0.72444162027034109</v>
      </c>
      <c r="E62" s="105">
        <f t="shared" si="46"/>
        <v>0.72</v>
      </c>
      <c r="F62" s="105">
        <v>0.35617997230969733</v>
      </c>
      <c r="G62" s="105">
        <v>0.7193411357054863</v>
      </c>
      <c r="H62" s="105"/>
      <c r="I62" s="97">
        <v>1310.4573541218385</v>
      </c>
      <c r="J62" s="97">
        <f t="shared" si="47"/>
        <v>1342.641875407747</v>
      </c>
      <c r="K62" s="97">
        <v>1368.9424113618124</v>
      </c>
      <c r="L62" s="105">
        <v>0.1081</v>
      </c>
      <c r="M62" s="105">
        <v>0.10564445842538688</v>
      </c>
      <c r="N62" s="105">
        <f t="shared" si="48"/>
        <v>0.1081</v>
      </c>
      <c r="O62" s="97">
        <f t="shared" si="49"/>
        <v>1168.7969141412677</v>
      </c>
      <c r="P62" s="97">
        <v>1200.7992016210499</v>
      </c>
      <c r="Q62" s="97">
        <f t="shared" si="50"/>
        <v>1220.9597366936005</v>
      </c>
      <c r="R62" s="97">
        <v>2622</v>
      </c>
      <c r="S62" s="97">
        <v>2483.3397119942993</v>
      </c>
      <c r="T62" s="97">
        <f>R62*0+2350</f>
        <v>2350</v>
      </c>
      <c r="U62" s="97">
        <v>2.81</v>
      </c>
      <c r="V62" s="97">
        <v>6.0589519168652863</v>
      </c>
      <c r="W62" s="97">
        <f t="shared" si="52"/>
        <v>2.81</v>
      </c>
      <c r="X62" s="97">
        <v>10328.102863339926</v>
      </c>
      <c r="Y62" s="97">
        <f t="shared" si="53"/>
        <v>9320.8636219572873</v>
      </c>
      <c r="Z62" s="97">
        <f>'Price &amp; GCV of fuels'!H81</f>
        <v>9320.8636219572873</v>
      </c>
      <c r="AA62" s="97">
        <v>3720.3151246563252</v>
      </c>
      <c r="AB62" s="97">
        <v>2900.783821754123</v>
      </c>
      <c r="AC62" s="97">
        <f>'Price &amp; GCV of fuels'!AB81</f>
        <v>3671.899250311164</v>
      </c>
      <c r="AD62" s="97">
        <v>49431.485095439122</v>
      </c>
      <c r="AE62" s="97">
        <f t="shared" si="54"/>
        <v>58886.853970912372</v>
      </c>
      <c r="AF62" s="97">
        <f>'Price &amp; GCV of fuels'!K81</f>
        <v>58886.853970912372</v>
      </c>
      <c r="AG62" s="97">
        <v>4037.2505462622839</v>
      </c>
      <c r="AH62" s="97">
        <v>4273.4714158611041</v>
      </c>
      <c r="AI62" s="97">
        <f>'Price &amp; GCV of fuels'!AF81</f>
        <v>4326.1751829493305</v>
      </c>
      <c r="AJ62" s="97">
        <f t="shared" si="55"/>
        <v>0.69697806343583557</v>
      </c>
      <c r="AK62" s="97">
        <f t="shared" si="55"/>
        <v>0.83662389085501032</v>
      </c>
      <c r="AL62" s="97">
        <f t="shared" si="55"/>
        <v>0.63286278157696618</v>
      </c>
      <c r="AM62" s="124">
        <f t="shared" si="56"/>
        <v>3.3106598726957506</v>
      </c>
      <c r="AN62" s="124">
        <f t="shared" si="56"/>
        <v>4.3965522852553063</v>
      </c>
      <c r="AO62" s="124">
        <f t="shared" si="56"/>
        <v>3.2552386136661258</v>
      </c>
      <c r="AP62" s="97">
        <f t="shared" si="57"/>
        <v>386.94890429781157</v>
      </c>
      <c r="AQ62" s="129">
        <v>470.28723628535147</v>
      </c>
      <c r="AR62" s="97">
        <f t="shared" si="57"/>
        <v>397.4515280616634</v>
      </c>
      <c r="AT62" s="9">
        <f t="shared" si="58"/>
        <v>377.05111647296235</v>
      </c>
      <c r="AU62" s="9">
        <f t="shared" si="59"/>
        <v>20.400411588701065</v>
      </c>
      <c r="AV62" s="13">
        <f t="shared" si="60"/>
        <v>397.4515280616634</v>
      </c>
      <c r="AX62" s="91">
        <v>399.59585151252884</v>
      </c>
      <c r="AY62" s="91">
        <f t="shared" si="61"/>
        <v>-2.1443234508654427</v>
      </c>
      <c r="AZ62" s="91">
        <v>410.62573316854161</v>
      </c>
      <c r="BA62" s="91">
        <v>22.216971650715383</v>
      </c>
      <c r="BB62" s="91">
        <v>432.84270481925699</v>
      </c>
      <c r="BD62" s="7" t="s">
        <v>44</v>
      </c>
      <c r="BE62" s="97">
        <v>519.49109913558232</v>
      </c>
      <c r="BF62" s="9">
        <v>452.8897189315025</v>
      </c>
      <c r="BG62" s="130">
        <v>4.7018421850430157</v>
      </c>
    </row>
    <row r="63" spans="2:59" x14ac:dyDescent="0.35">
      <c r="B63" s="7" t="s">
        <v>152</v>
      </c>
      <c r="C63" s="105">
        <v>0.8</v>
      </c>
      <c r="D63" s="105">
        <v>0.67131893456070124</v>
      </c>
      <c r="E63" s="105">
        <f t="shared" si="46"/>
        <v>0.8</v>
      </c>
      <c r="F63" s="105">
        <v>0.8</v>
      </c>
      <c r="G63" s="105">
        <v>0.64892908143023786</v>
      </c>
      <c r="H63" s="105"/>
      <c r="I63" s="97">
        <v>4415.04</v>
      </c>
      <c r="J63" s="97">
        <f t="shared" si="47"/>
        <v>3577.22834619677</v>
      </c>
      <c r="K63" s="97">
        <v>3668.5683094641677</v>
      </c>
      <c r="L63" s="105">
        <v>0.1075</v>
      </c>
      <c r="M63" s="105">
        <v>0.11441694340013452</v>
      </c>
      <c r="N63" s="105">
        <f t="shared" si="48"/>
        <v>0.1075</v>
      </c>
      <c r="O63" s="97">
        <f t="shared" si="49"/>
        <v>3940.4231999999997</v>
      </c>
      <c r="P63" s="97">
        <v>3167.9328129806172</v>
      </c>
      <c r="Q63" s="97">
        <f t="shared" si="50"/>
        <v>3274.1972161967697</v>
      </c>
      <c r="R63" s="97">
        <v>2754</v>
      </c>
      <c r="S63" s="97">
        <v>2779.0360588173799</v>
      </c>
      <c r="T63" s="97">
        <f t="shared" si="51"/>
        <v>2754</v>
      </c>
      <c r="U63" s="97">
        <v>1</v>
      </c>
      <c r="V63" s="97">
        <v>3.1033047911854292</v>
      </c>
      <c r="W63" s="97">
        <f t="shared" si="52"/>
        <v>1</v>
      </c>
      <c r="X63" s="97">
        <v>10446.381585279727</v>
      </c>
      <c r="Y63" s="97">
        <f t="shared" si="53"/>
        <v>9421.7103216337528</v>
      </c>
      <c r="Z63" s="97">
        <f>'Price &amp; GCV of fuels'!H82</f>
        <v>9421.7103216337528</v>
      </c>
      <c r="AA63" s="97">
        <v>3963.7406405681891</v>
      </c>
      <c r="AB63" s="97">
        <v>3221.311995213523</v>
      </c>
      <c r="AC63" s="97">
        <f>'Price &amp; GCV of fuels'!AB82</f>
        <v>3471.3583293648635</v>
      </c>
      <c r="AD63" s="97">
        <v>45491.248007185437</v>
      </c>
      <c r="AE63" s="97">
        <f t="shared" si="54"/>
        <v>61105.280875144679</v>
      </c>
      <c r="AF63" s="97">
        <f>'Price &amp; GCV of fuels'!K82</f>
        <v>61105.280875144679</v>
      </c>
      <c r="AG63" s="97">
        <v>4536.020314220139</v>
      </c>
      <c r="AH63" s="97">
        <v>5302.4643126885976</v>
      </c>
      <c r="AI63" s="97">
        <f>'Price &amp; GCV of fuels'!AF82</f>
        <v>5527.9749439712923</v>
      </c>
      <c r="AJ63" s="97">
        <f t="shared" si="55"/>
        <v>0.69216274907972819</v>
      </c>
      <c r="AK63" s="97">
        <f t="shared" si="55"/>
        <v>0.85362660435280924</v>
      </c>
      <c r="AL63" s="97">
        <f t="shared" si="55"/>
        <v>0.79063525838328752</v>
      </c>
      <c r="AM63" s="124">
        <f t="shared" si="56"/>
        <v>3.5688017238983631</v>
      </c>
      <c r="AN63" s="124">
        <f t="shared" si="56"/>
        <v>5.3252519701036976</v>
      </c>
      <c r="AO63" s="124">
        <f t="shared" si="56"/>
        <v>4.9655094443005341</v>
      </c>
      <c r="AP63" s="97">
        <f t="shared" si="57"/>
        <v>1406.2589109049104</v>
      </c>
      <c r="AQ63" s="129">
        <v>1702.6750113926132</v>
      </c>
      <c r="AR63" s="97">
        <f t="shared" si="57"/>
        <v>1625.8057199527577</v>
      </c>
      <c r="AT63" s="9">
        <f t="shared" si="58"/>
        <v>1603.3888302568114</v>
      </c>
      <c r="AU63" s="9">
        <f t="shared" si="59"/>
        <v>22.41688969594626</v>
      </c>
      <c r="AV63" s="13">
        <f t="shared" si="60"/>
        <v>1625.8057199527577</v>
      </c>
      <c r="AX63" s="91">
        <v>1637.7620473785835</v>
      </c>
      <c r="AY63" s="91">
        <f t="shared" si="61"/>
        <v>-11.956327425825748</v>
      </c>
      <c r="AZ63" s="91">
        <v>1563.4676772333848</v>
      </c>
      <c r="BA63" s="91">
        <v>21.858754284888292</v>
      </c>
      <c r="BB63" s="91">
        <v>1585.3264315182732</v>
      </c>
      <c r="BD63" s="7" t="s">
        <v>152</v>
      </c>
      <c r="BE63" s="97">
        <v>1212.5203511451932</v>
      </c>
      <c r="BF63" s="9">
        <v>1060.16587</v>
      </c>
      <c r="BG63" s="130">
        <v>6.3075525855453236</v>
      </c>
    </row>
    <row r="64" spans="2:59" x14ac:dyDescent="0.35">
      <c r="B64" s="7" t="s">
        <v>154</v>
      </c>
      <c r="C64" s="105">
        <v>0.85</v>
      </c>
      <c r="D64" s="105">
        <v>0.29602377704918031</v>
      </c>
      <c r="E64" s="105">
        <f t="shared" si="46"/>
        <v>0.85</v>
      </c>
      <c r="F64" s="105">
        <v>0.50811666666666666</v>
      </c>
      <c r="G64" s="105">
        <v>0.28058144934671647</v>
      </c>
      <c r="H64" s="105"/>
      <c r="I64" s="97">
        <v>2991.1405440000003</v>
      </c>
      <c r="J64" s="97">
        <f t="shared" si="47"/>
        <v>1560.798</v>
      </c>
      <c r="K64" s="97">
        <v>1564.9801341589266</v>
      </c>
      <c r="L64" s="105">
        <v>3.1E-2</v>
      </c>
      <c r="M64" s="105">
        <v>2.9957429725050905E-2</v>
      </c>
      <c r="N64" s="105">
        <f t="shared" si="48"/>
        <v>3.1E-2</v>
      </c>
      <c r="O64" s="97">
        <f t="shared" si="49"/>
        <v>2898.4151871360004</v>
      </c>
      <c r="P64" s="97">
        <v>1514.0405036</v>
      </c>
      <c r="Q64" s="97">
        <f t="shared" si="50"/>
        <v>1516.4657499999998</v>
      </c>
      <c r="R64" s="97">
        <v>2035</v>
      </c>
      <c r="S64" s="97">
        <v>2348.4802947018125</v>
      </c>
      <c r="T64" s="97">
        <f t="shared" si="51"/>
        <v>2035</v>
      </c>
      <c r="U64" s="97"/>
      <c r="V64" s="97"/>
      <c r="W64" s="97"/>
      <c r="X64" s="97"/>
      <c r="Y64" s="97"/>
      <c r="Z64" s="97"/>
      <c r="AA64" s="97">
        <v>8365.74</v>
      </c>
      <c r="AB64" s="97">
        <v>8345</v>
      </c>
      <c r="AC64" s="97">
        <f>'Price &amp; GCV of fuels'!AB83</f>
        <v>8345</v>
      </c>
      <c r="AD64" s="97"/>
      <c r="AE64" s="97"/>
      <c r="AF64" s="97"/>
      <c r="AG64" s="97">
        <v>11339.142950328733</v>
      </c>
      <c r="AH64" s="97">
        <f>AI64</f>
        <v>23165.404729277754</v>
      </c>
      <c r="AI64" s="97">
        <f>'Price &amp; GCV of fuels'!AF83</f>
        <v>23165.404729277754</v>
      </c>
      <c r="AJ64" s="97">
        <f t="shared" si="55"/>
        <v>0.2432540337136942</v>
      </c>
      <c r="AK64" s="97">
        <f t="shared" si="55"/>
        <v>0.2814236422650464</v>
      </c>
      <c r="AL64" s="97">
        <f t="shared" si="55"/>
        <v>0.243858597962852</v>
      </c>
      <c r="AM64" s="124">
        <f t="shared" si="56"/>
        <v>2.8465348416136882</v>
      </c>
      <c r="AN64" s="124">
        <f t="shared" si="56"/>
        <v>6.7206252315395254</v>
      </c>
      <c r="AO64" s="124">
        <f t="shared" si="56"/>
        <v>5.8298071398593336</v>
      </c>
      <c r="AP64" s="97">
        <f t="shared" si="57"/>
        <v>825.04398156448838</v>
      </c>
      <c r="AQ64" s="129">
        <v>1017.5298810066975</v>
      </c>
      <c r="AR64" s="97">
        <f t="shared" si="57"/>
        <v>884.07028567021393</v>
      </c>
      <c r="AT64" s="9">
        <f t="shared" si="58"/>
        <v>884.07028567021382</v>
      </c>
      <c r="AU64" s="9">
        <f t="shared" si="59"/>
        <v>0</v>
      </c>
      <c r="AV64" s="13">
        <f t="shared" si="60"/>
        <v>884.07028567021382</v>
      </c>
      <c r="AX64" s="91">
        <v>446.04392587170099</v>
      </c>
      <c r="AY64" s="91">
        <f t="shared" si="61"/>
        <v>438.02635979851294</v>
      </c>
      <c r="AZ64" s="91">
        <v>881.70776332255457</v>
      </c>
      <c r="BA64" s="91">
        <v>0</v>
      </c>
      <c r="BB64" s="91">
        <v>881.70776332255457</v>
      </c>
      <c r="BD64" s="7" t="s">
        <v>154</v>
      </c>
      <c r="BE64" s="97">
        <v>758.79839973555909</v>
      </c>
      <c r="BF64" s="9">
        <v>736.06674999999996</v>
      </c>
      <c r="BG64" s="130">
        <v>0</v>
      </c>
    </row>
    <row r="65" spans="1:59" x14ac:dyDescent="0.35">
      <c r="B65" s="7" t="s">
        <v>155</v>
      </c>
      <c r="C65" s="105">
        <v>0.85</v>
      </c>
      <c r="D65" s="105">
        <v>0.78150424745107372</v>
      </c>
      <c r="E65" s="105">
        <f t="shared" si="46"/>
        <v>0.85</v>
      </c>
      <c r="F65" s="105">
        <v>0.79890833333333344</v>
      </c>
      <c r="G65" s="105">
        <v>0.76710198466817769</v>
      </c>
      <c r="H65" s="105"/>
      <c r="I65" s="97">
        <v>3499.2185000000004</v>
      </c>
      <c r="J65" s="97">
        <f t="shared" si="47"/>
        <v>3384.5769543220281</v>
      </c>
      <c r="K65" s="97">
        <v>3336.6669838170101</v>
      </c>
      <c r="L65" s="105">
        <v>9.2999999999999999E-2</v>
      </c>
      <c r="M65" s="105">
        <v>0.10259857747022554</v>
      </c>
      <c r="N65" s="105">
        <f t="shared" si="48"/>
        <v>9.2999999999999999E-2</v>
      </c>
      <c r="O65" s="97">
        <f t="shared" si="49"/>
        <v>3173.7911795000005</v>
      </c>
      <c r="P65" s="97">
        <v>3037.3241734700796</v>
      </c>
      <c r="Q65" s="97">
        <f t="shared" si="50"/>
        <v>3026.3569543220283</v>
      </c>
      <c r="R65" s="97">
        <v>2430</v>
      </c>
      <c r="S65" s="97">
        <v>2316.3093072921092</v>
      </c>
      <c r="T65" s="97">
        <f t="shared" si="51"/>
        <v>2430</v>
      </c>
      <c r="U65" s="97">
        <v>0.5</v>
      </c>
      <c r="V65" s="97">
        <v>1.2052959135387409</v>
      </c>
      <c r="W65" s="97">
        <f t="shared" ref="W65:W71" si="62">U65</f>
        <v>0.5</v>
      </c>
      <c r="X65" s="97">
        <v>10446.381585279727</v>
      </c>
      <c r="Y65" s="97">
        <f t="shared" si="53"/>
        <v>9511.0073250566566</v>
      </c>
      <c r="Z65" s="97">
        <f>'Price &amp; GCV of fuels'!H84</f>
        <v>9511.0073250566566</v>
      </c>
      <c r="AA65" s="97">
        <v>3478.4241214837384</v>
      </c>
      <c r="AB65" s="97">
        <v>3198.2608120112604</v>
      </c>
      <c r="AC65" s="97">
        <f>'Price &amp; GCV of fuels'!AB84</f>
        <v>3602.9358305227115</v>
      </c>
      <c r="AD65" s="97">
        <v>42927.840002499113</v>
      </c>
      <c r="AE65" s="97">
        <f t="shared" si="54"/>
        <v>63070.589000227686</v>
      </c>
      <c r="AF65" s="97">
        <f>'Price &amp; GCV of fuels'!K84</f>
        <v>63070.589000227686</v>
      </c>
      <c r="AG65" s="97">
        <v>4062.4917449669551</v>
      </c>
      <c r="AH65" s="97">
        <v>4210.2677235294332</v>
      </c>
      <c r="AI65" s="97">
        <f>'Price &amp; GCV of fuels'!AF84</f>
        <v>4210.3210218600734</v>
      </c>
      <c r="AJ65" s="97">
        <f t="shared" si="55"/>
        <v>0.69709061475029677</v>
      </c>
      <c r="AK65" s="97">
        <f t="shared" si="55"/>
        <v>0.72065596413325483</v>
      </c>
      <c r="AL65" s="97">
        <f t="shared" si="55"/>
        <v>0.67313008347018455</v>
      </c>
      <c r="AM65" s="124">
        <f t="shared" si="56"/>
        <v>3.1459633824898234</v>
      </c>
      <c r="AN65" s="124">
        <f t="shared" si="56"/>
        <v>3.4657547789239129</v>
      </c>
      <c r="AO65" s="124">
        <f t="shared" si="56"/>
        <v>3.1594586939151683</v>
      </c>
      <c r="AP65" s="97">
        <f t="shared" si="57"/>
        <v>998.46308343761882</v>
      </c>
      <c r="AQ65" s="129">
        <v>997.31788231485802</v>
      </c>
      <c r="AR65" s="97">
        <f t="shared" si="57"/>
        <v>956.16497902233618</v>
      </c>
      <c r="AT65" s="9">
        <f t="shared" si="58"/>
        <v>945.64270142398857</v>
      </c>
      <c r="AU65" s="9">
        <f t="shared" si="59"/>
        <v>10.5222775983476</v>
      </c>
      <c r="AV65" s="13">
        <f t="shared" si="60"/>
        <v>956.16497902233618</v>
      </c>
      <c r="AX65" s="91">
        <v>956.16497902233596</v>
      </c>
      <c r="AY65" s="91">
        <f t="shared" si="61"/>
        <v>0</v>
      </c>
      <c r="AZ65" s="91">
        <v>959.22083617739486</v>
      </c>
      <c r="BA65" s="91">
        <v>10.673363101284352</v>
      </c>
      <c r="BB65" s="91">
        <v>969.89419927867925</v>
      </c>
      <c r="BD65" s="7" t="s">
        <v>155</v>
      </c>
      <c r="BE65" s="97">
        <v>1318.2435265280003</v>
      </c>
      <c r="BF65" s="9">
        <v>1167.579</v>
      </c>
      <c r="BG65" s="130">
        <v>3.4763965868996975</v>
      </c>
    </row>
    <row r="66" spans="1:59" x14ac:dyDescent="0.35">
      <c r="B66" s="7" t="s">
        <v>156</v>
      </c>
      <c r="C66" s="105">
        <v>0.85</v>
      </c>
      <c r="D66" s="105">
        <v>0.78864883141751174</v>
      </c>
      <c r="E66" s="105">
        <f t="shared" si="46"/>
        <v>0.85</v>
      </c>
      <c r="F66" s="105">
        <v>0.7874633333333334</v>
      </c>
      <c r="G66" s="105">
        <v>0.75140948811113528</v>
      </c>
      <c r="H66" s="105"/>
      <c r="I66" s="97">
        <v>3449.0894000000003</v>
      </c>
      <c r="J66" s="97">
        <f t="shared" si="47"/>
        <v>3333.9359185825101</v>
      </c>
      <c r="K66" s="97">
        <v>3505.4078484922939</v>
      </c>
      <c r="L66" s="105">
        <v>9.2999999999999999E-2</v>
      </c>
      <c r="M66" s="105">
        <v>0.10299394253929339</v>
      </c>
      <c r="N66" s="105">
        <f t="shared" si="48"/>
        <v>9.2999999999999999E-2</v>
      </c>
      <c r="O66" s="97">
        <f t="shared" si="49"/>
        <v>3128.3240858000004</v>
      </c>
      <c r="P66" s="97">
        <v>2990.5607141543369</v>
      </c>
      <c r="Q66" s="97">
        <f t="shared" si="50"/>
        <v>3179.4049185825106</v>
      </c>
      <c r="R66" s="97">
        <v>2430</v>
      </c>
      <c r="S66" s="97">
        <v>2479.2594612222565</v>
      </c>
      <c r="T66" s="97">
        <f t="shared" si="51"/>
        <v>2430</v>
      </c>
      <c r="U66" s="97">
        <v>0.5</v>
      </c>
      <c r="V66" s="97">
        <v>1.9241140086964514</v>
      </c>
      <c r="W66" s="97">
        <f t="shared" si="62"/>
        <v>0.5</v>
      </c>
      <c r="X66" s="97">
        <v>10346</v>
      </c>
      <c r="Y66" s="97">
        <f t="shared" si="53"/>
        <v>9467.0669547065645</v>
      </c>
      <c r="Z66" s="97">
        <f>'Price &amp; GCV of fuels'!H85</f>
        <v>9467.0669547065645</v>
      </c>
      <c r="AA66" s="97">
        <v>3195.1644970603079</v>
      </c>
      <c r="AB66" s="97">
        <v>3229.8725280943659</v>
      </c>
      <c r="AC66" s="97">
        <f>'Price &amp; GCV of fuels'!AB85</f>
        <v>3416.1897873240309</v>
      </c>
      <c r="AD66" s="97">
        <v>44051.788821722817</v>
      </c>
      <c r="AE66" s="97">
        <f t="shared" si="54"/>
        <v>55785.506686204375</v>
      </c>
      <c r="AF66" s="97">
        <f>'Price &amp; GCV of fuels'!K85</f>
        <v>55785.506686204375</v>
      </c>
      <c r="AG66" s="97">
        <v>5038.4172673507373</v>
      </c>
      <c r="AH66" s="97">
        <v>5598.3583648504873</v>
      </c>
      <c r="AI66" s="97">
        <f>'Price &amp; GCV of fuels'!AF85</f>
        <v>5608.1737029462101</v>
      </c>
      <c r="AJ66" s="97">
        <f t="shared" si="55"/>
        <v>0.75890521512458842</v>
      </c>
      <c r="AK66" s="97">
        <f t="shared" si="55"/>
        <v>0.76196311887437285</v>
      </c>
      <c r="AL66" s="97">
        <f t="shared" si="55"/>
        <v>0.70993317628948416</v>
      </c>
      <c r="AM66" s="124">
        <f t="shared" si="56"/>
        <v>4.2400298065899822</v>
      </c>
      <c r="AN66" s="124">
        <f t="shared" si="56"/>
        <v>4.8751959240215381</v>
      </c>
      <c r="AO66" s="124">
        <f t="shared" si="56"/>
        <v>4.4204204227771369</v>
      </c>
      <c r="AP66" s="97">
        <f t="shared" si="57"/>
        <v>1326.4187368465359</v>
      </c>
      <c r="AQ66" s="129">
        <v>1392.3048992593224</v>
      </c>
      <c r="AR66" s="97">
        <f t="shared" si="57"/>
        <v>1405.430643438021</v>
      </c>
      <c r="AT66" s="9">
        <f t="shared" si="58"/>
        <v>1395.6530957895238</v>
      </c>
      <c r="AU66" s="9">
        <f t="shared" si="59"/>
        <v>9.7775476484970074</v>
      </c>
      <c r="AV66" s="13">
        <f t="shared" si="60"/>
        <v>1405.4306434380208</v>
      </c>
      <c r="AX66" s="91">
        <v>1405.4306434380217</v>
      </c>
      <c r="AY66" s="91">
        <f t="shared" si="61"/>
        <v>0</v>
      </c>
      <c r="AZ66" s="91">
        <v>1327.3827717179538</v>
      </c>
      <c r="BA66" s="91">
        <v>9.2992652238730766</v>
      </c>
      <c r="BB66" s="91">
        <v>1336.6820369418269</v>
      </c>
      <c r="BD66" s="7" t="s">
        <v>156</v>
      </c>
      <c r="BE66" s="97">
        <v>1503.3818364324854</v>
      </c>
      <c r="BF66" s="9">
        <v>1329.8209999999999</v>
      </c>
      <c r="BG66" s="130">
        <v>5.1407881992255389</v>
      </c>
    </row>
    <row r="67" spans="1:59" x14ac:dyDescent="0.35">
      <c r="B67" s="7" t="s">
        <v>8</v>
      </c>
      <c r="C67" s="105">
        <v>0.85</v>
      </c>
      <c r="D67" s="105">
        <v>0.86417742018481836</v>
      </c>
      <c r="E67" s="105">
        <f t="shared" si="46"/>
        <v>0.85</v>
      </c>
      <c r="F67" s="105">
        <v>0.81423156980454459</v>
      </c>
      <c r="G67" s="105">
        <v>0.84368805319786089</v>
      </c>
      <c r="H67" s="105"/>
      <c r="I67" s="97">
        <v>3566.3342757439054</v>
      </c>
      <c r="J67" s="97">
        <f t="shared" si="47"/>
        <v>3695.0358041541722</v>
      </c>
      <c r="K67" s="97">
        <v>3506.8968320789072</v>
      </c>
      <c r="L67" s="105">
        <v>0.06</v>
      </c>
      <c r="M67" s="105">
        <v>5.8706415782324432E-2</v>
      </c>
      <c r="N67" s="105">
        <f t="shared" si="48"/>
        <v>0.06</v>
      </c>
      <c r="O67" s="97">
        <f t="shared" si="49"/>
        <v>3352.354219199271</v>
      </c>
      <c r="P67" s="97">
        <v>3478.1134959049218</v>
      </c>
      <c r="Q67" s="97">
        <f t="shared" si="50"/>
        <v>3296.4830221541724</v>
      </c>
      <c r="R67" s="97">
        <v>2375</v>
      </c>
      <c r="S67" s="97">
        <v>2403.6596241517059</v>
      </c>
      <c r="T67" s="97">
        <f t="shared" si="51"/>
        <v>2375</v>
      </c>
      <c r="U67" s="97">
        <v>0.5</v>
      </c>
      <c r="V67" s="97">
        <v>0.47837644042842659</v>
      </c>
      <c r="W67" s="97">
        <f t="shared" si="62"/>
        <v>0.5</v>
      </c>
      <c r="X67" s="97">
        <v>10500.369112605771</v>
      </c>
      <c r="Y67" s="97">
        <f t="shared" si="53"/>
        <v>9690.3982180671792</v>
      </c>
      <c r="Z67" s="97">
        <f>'Price &amp; GCV of fuels'!H86</f>
        <v>9690.3982180671792</v>
      </c>
      <c r="AA67" s="97">
        <v>3594.7891231346525</v>
      </c>
      <c r="AB67" s="97">
        <v>2916.2422131480457</v>
      </c>
      <c r="AC67" s="97">
        <f>'Price &amp; GCV of fuels'!AB86</f>
        <v>3674.5063143616053</v>
      </c>
      <c r="AD67" s="97">
        <v>48305.190176354081</v>
      </c>
      <c r="AE67" s="97">
        <f t="shared" si="54"/>
        <v>50240.556928214392</v>
      </c>
      <c r="AF67" s="97">
        <f>'Price &amp; GCV of fuels'!K86</f>
        <v>50240.556928214392</v>
      </c>
      <c r="AG67" s="97">
        <v>3647.165634052888</v>
      </c>
      <c r="AH67" s="97">
        <v>5367.1404527396662</v>
      </c>
      <c r="AI67" s="97">
        <f>'Price &amp; GCV of fuels'!AF86</f>
        <v>5632.9896887526074</v>
      </c>
      <c r="AJ67" s="97">
        <f t="shared" si="55"/>
        <v>0.65921803317833494</v>
      </c>
      <c r="AK67" s="97">
        <f t="shared" si="55"/>
        <v>0.82264221919896618</v>
      </c>
      <c r="AL67" s="97">
        <f t="shared" si="55"/>
        <v>0.6450267323333605</v>
      </c>
      <c r="AM67" s="124">
        <f t="shared" si="56"/>
        <v>2.58343611813206</v>
      </c>
      <c r="AN67" s="124">
        <f t="shared" si="56"/>
        <v>4.716137776793957</v>
      </c>
      <c r="AO67" s="124">
        <f t="shared" si="56"/>
        <v>3.8920736283699098</v>
      </c>
      <c r="AP67" s="97">
        <f t="shared" si="57"/>
        <v>866.05929706517986</v>
      </c>
      <c r="AQ67" s="129">
        <v>1422.6390296875034</v>
      </c>
      <c r="AR67" s="97">
        <f t="shared" si="57"/>
        <v>1283.0154636895395</v>
      </c>
      <c r="AT67" s="9">
        <f t="shared" si="58"/>
        <v>1274.2060411928678</v>
      </c>
      <c r="AU67" s="9">
        <f t="shared" si="59"/>
        <v>8.809422496671754</v>
      </c>
      <c r="AV67" s="13">
        <f t="shared" si="60"/>
        <v>1283.0154636895395</v>
      </c>
      <c r="AX67" s="91">
        <v>1293.8608476826912</v>
      </c>
      <c r="AY67" s="91">
        <f t="shared" si="61"/>
        <v>-10.8453839931517</v>
      </c>
      <c r="AZ67" s="91">
        <v>1342.5649996341992</v>
      </c>
      <c r="BA67" s="91">
        <v>9.2820328335199083</v>
      </c>
      <c r="BB67" s="91">
        <v>1351.8470324677191</v>
      </c>
      <c r="BD67" s="7" t="s">
        <v>8</v>
      </c>
      <c r="BE67" s="97">
        <v>1412.7222582286729</v>
      </c>
      <c r="BF67" s="9">
        <v>1331.861218</v>
      </c>
      <c r="BG67" s="130">
        <v>4.3601445063420599</v>
      </c>
    </row>
    <row r="68" spans="1:59" x14ac:dyDescent="0.35">
      <c r="B68" s="7" t="s">
        <v>157</v>
      </c>
      <c r="C68" s="105">
        <v>0.85</v>
      </c>
      <c r="D68" s="105">
        <v>0.74844830643468885</v>
      </c>
      <c r="E68" s="105">
        <f t="shared" si="46"/>
        <v>0.85</v>
      </c>
      <c r="F68" s="105">
        <v>0.85</v>
      </c>
      <c r="G68" s="105">
        <v>0.73376310494389529</v>
      </c>
      <c r="H68" s="105"/>
      <c r="I68" s="97">
        <v>7446</v>
      </c>
      <c r="J68" s="97">
        <f t="shared" si="47"/>
        <v>6446.9194750462293</v>
      </c>
      <c r="K68" s="97">
        <v>6325.2095842825838</v>
      </c>
      <c r="L68" s="105">
        <v>0.06</v>
      </c>
      <c r="M68" s="105">
        <v>6.2972415769102605E-2</v>
      </c>
      <c r="N68" s="105">
        <f t="shared" si="48"/>
        <v>0.06</v>
      </c>
      <c r="O68" s="97">
        <f t="shared" si="49"/>
        <v>6999.24</v>
      </c>
      <c r="P68" s="97">
        <v>6040.9413814336931</v>
      </c>
      <c r="Q68" s="97">
        <f t="shared" si="50"/>
        <v>5945.6970092256288</v>
      </c>
      <c r="R68" s="97">
        <v>2375</v>
      </c>
      <c r="S68" s="97">
        <v>2408.989246685268</v>
      </c>
      <c r="T68" s="97">
        <f t="shared" si="51"/>
        <v>2375</v>
      </c>
      <c r="U68" s="97">
        <v>0.5</v>
      </c>
      <c r="V68" s="97">
        <v>1.8010980279626494</v>
      </c>
      <c r="W68" s="97">
        <f t="shared" si="62"/>
        <v>0.5</v>
      </c>
      <c r="X68" s="97">
        <v>9844.0694151565749</v>
      </c>
      <c r="Y68" s="97">
        <f t="shared" si="53"/>
        <v>9878.939501052475</v>
      </c>
      <c r="Z68" s="97">
        <f>'Price &amp; GCV of fuels'!H87</f>
        <v>9878.939501052475</v>
      </c>
      <c r="AA68" s="97">
        <v>3700.4224947494922</v>
      </c>
      <c r="AB68" s="97">
        <v>3137.5984723461515</v>
      </c>
      <c r="AC68" s="97">
        <f>'Price &amp; GCV of fuels'!AB87</f>
        <v>3845.4231386455835</v>
      </c>
      <c r="AD68" s="97">
        <v>42006.458860465114</v>
      </c>
      <c r="AE68" s="97">
        <f t="shared" si="54"/>
        <v>53355.495052849052</v>
      </c>
      <c r="AF68" s="97">
        <f>'Price &amp; GCV of fuels'!K87</f>
        <v>53355.495052849052</v>
      </c>
      <c r="AG68" s="97">
        <v>5010.2909597322005</v>
      </c>
      <c r="AH68" s="97">
        <v>5719.3477949707694</v>
      </c>
      <c r="AI68" s="97">
        <f>'Price &amp; GCV of fuels'!AF87</f>
        <v>5834.6491622342692</v>
      </c>
      <c r="AJ68" s="97">
        <f t="shared" si="55"/>
        <v>0.64048847629029149</v>
      </c>
      <c r="AK68" s="97">
        <f t="shared" si="55"/>
        <v>0.76211036221073047</v>
      </c>
      <c r="AL68" s="97">
        <f t="shared" si="55"/>
        <v>0.61633283121197557</v>
      </c>
      <c r="AM68" s="124">
        <f t="shared" si="56"/>
        <v>3.4362094170214172</v>
      </c>
      <c r="AN68" s="124">
        <f t="shared" si="56"/>
        <v>4.7542599295104928</v>
      </c>
      <c r="AO68" s="124">
        <f t="shared" si="56"/>
        <v>3.854003813632823</v>
      </c>
      <c r="AP68" s="97">
        <f t="shared" si="57"/>
        <v>2405.0854399992982</v>
      </c>
      <c r="AQ68" s="129">
        <v>2635.5122285655852</v>
      </c>
      <c r="AR68" s="97">
        <f t="shared" si="57"/>
        <v>2291.4738948260842</v>
      </c>
      <c r="AT68" s="9">
        <f t="shared" si="58"/>
        <v>2274.599660391963</v>
      </c>
      <c r="AU68" s="9">
        <f t="shared" si="59"/>
        <v>16.874234434121146</v>
      </c>
      <c r="AV68" s="13">
        <f t="shared" si="60"/>
        <v>2291.4738948260842</v>
      </c>
      <c r="AX68" s="91">
        <v>2310.7160312523702</v>
      </c>
      <c r="AY68" s="91">
        <f t="shared" si="61"/>
        <v>-19.242136426285924</v>
      </c>
      <c r="AZ68" s="91">
        <v>2318.3675818352694</v>
      </c>
      <c r="BA68" s="91">
        <v>17.198929007847266</v>
      </c>
      <c r="BB68" s="91">
        <v>2335.5665108431167</v>
      </c>
      <c r="BD68" s="7" t="s">
        <v>157</v>
      </c>
      <c r="BE68" s="97">
        <v>2433.4105993021831</v>
      </c>
      <c r="BF68" s="9">
        <v>2270.5825341793998</v>
      </c>
      <c r="BG68" s="130">
        <v>5.0429522191660769</v>
      </c>
    </row>
    <row r="69" spans="1:59" x14ac:dyDescent="0.35">
      <c r="B69" s="7" t="s">
        <v>158</v>
      </c>
      <c r="C69" s="105">
        <v>0.85</v>
      </c>
      <c r="D69" s="105">
        <v>0.71275057370778627</v>
      </c>
      <c r="E69" s="105">
        <f t="shared" si="46"/>
        <v>0.85</v>
      </c>
      <c r="F69" s="105">
        <v>0.60016582062600443</v>
      </c>
      <c r="G69" s="105">
        <v>0.70950836238974579</v>
      </c>
      <c r="H69" s="105"/>
      <c r="I69" s="97">
        <v>10409.756125593922</v>
      </c>
      <c r="J69" s="97">
        <f t="shared" si="47"/>
        <v>13284.364596764544</v>
      </c>
      <c r="K69" s="97">
        <v>12127.371911451646</v>
      </c>
      <c r="L69" s="105">
        <v>0.06</v>
      </c>
      <c r="M69" s="105">
        <v>6.1279903142988194E-2</v>
      </c>
      <c r="N69" s="105">
        <f t="shared" si="48"/>
        <v>0.06</v>
      </c>
      <c r="O69" s="97">
        <f t="shared" si="49"/>
        <v>9785.1707580582861</v>
      </c>
      <c r="P69" s="97">
        <v>12470.300020958672</v>
      </c>
      <c r="Q69" s="97">
        <f t="shared" si="50"/>
        <v>11399.729596764546</v>
      </c>
      <c r="R69" s="97">
        <v>2230</v>
      </c>
      <c r="S69" s="97">
        <v>2177.1870387017502</v>
      </c>
      <c r="T69" s="97">
        <f t="shared" si="51"/>
        <v>2230</v>
      </c>
      <c r="U69" s="97">
        <v>0.5</v>
      </c>
      <c r="V69" s="97">
        <v>0.65642304178193112</v>
      </c>
      <c r="W69" s="97">
        <f t="shared" si="62"/>
        <v>0.5</v>
      </c>
      <c r="X69" s="97">
        <v>10520.504355722594</v>
      </c>
      <c r="Y69" s="97">
        <f t="shared" si="53"/>
        <v>9282.5201994775289</v>
      </c>
      <c r="Z69" s="97">
        <f>'Price &amp; GCV of fuels'!H88</f>
        <v>9282.5201994775289</v>
      </c>
      <c r="AA69" s="97">
        <v>3531.2789094092705</v>
      </c>
      <c r="AB69" s="97">
        <v>3359.5403346338107</v>
      </c>
      <c r="AC69" s="97">
        <f>'Price &amp; GCV of fuels'!AB88</f>
        <v>3884.2141047676364</v>
      </c>
      <c r="AD69" s="97">
        <v>49559.037978478911</v>
      </c>
      <c r="AE69" s="97">
        <f t="shared" si="54"/>
        <v>62624.413723265738</v>
      </c>
      <c r="AF69" s="97">
        <f>'Price &amp; GCV of fuels'!K88</f>
        <v>62624.413723265738</v>
      </c>
      <c r="AG69" s="97">
        <v>3538.2874110237881</v>
      </c>
      <c r="AH69" s="97">
        <v>5002.0550878495824</v>
      </c>
      <c r="AI69" s="97">
        <f>'Price &amp; GCV of fuels'!AF88</f>
        <v>5130.8604848190007</v>
      </c>
      <c r="AJ69" s="97">
        <f t="shared" si="55"/>
        <v>0.63000963812125055</v>
      </c>
      <c r="AK69" s="97">
        <f t="shared" si="55"/>
        <v>0.64624727263280668</v>
      </c>
      <c r="AL69" s="97">
        <f t="shared" si="55"/>
        <v>0.57292380900650375</v>
      </c>
      <c r="AM69" s="124">
        <f t="shared" si="56"/>
        <v>2.3978028621035237</v>
      </c>
      <c r="AN69" s="124">
        <f t="shared" si="56"/>
        <v>3.4873788014006228</v>
      </c>
      <c r="AO69" s="124">
        <f t="shared" si="56"/>
        <v>3.1605365311756297</v>
      </c>
      <c r="AP69" s="97">
        <f t="shared" si="57"/>
        <v>2346.2910449843866</v>
      </c>
      <c r="AQ69" s="129">
        <v>4029.6607614346663</v>
      </c>
      <c r="AR69" s="97">
        <f t="shared" si="57"/>
        <v>3602.9261836098376</v>
      </c>
      <c r="AT69" s="9">
        <f t="shared" si="58"/>
        <v>3564.9527058119043</v>
      </c>
      <c r="AU69" s="9">
        <f t="shared" si="59"/>
        <v>37.973477797933</v>
      </c>
      <c r="AV69" s="13">
        <f t="shared" si="60"/>
        <v>3602.9261836098372</v>
      </c>
      <c r="AX69" s="91">
        <v>3612.4465485806486</v>
      </c>
      <c r="AY69" s="91">
        <f t="shared" si="61"/>
        <v>-9.5203649708109879</v>
      </c>
      <c r="AZ69" s="91">
        <v>3564.9527058119043</v>
      </c>
      <c r="BA69" s="91">
        <v>37.973477797932993</v>
      </c>
      <c r="BB69" s="91">
        <v>3602.9261836098372</v>
      </c>
      <c r="BD69" s="7" t="s">
        <v>158</v>
      </c>
      <c r="BE69" s="97">
        <v>4266.9697980884985</v>
      </c>
      <c r="BF69" s="9">
        <v>3998.62</v>
      </c>
      <c r="BG69" s="130">
        <v>3.1519744008801469</v>
      </c>
    </row>
    <row r="70" spans="1:59" x14ac:dyDescent="0.35">
      <c r="B70" s="7" t="s">
        <v>159</v>
      </c>
      <c r="C70" s="105">
        <v>0.85</v>
      </c>
      <c r="D70" s="105">
        <v>0.8112853736732627</v>
      </c>
      <c r="E70" s="105">
        <f t="shared" si="46"/>
        <v>0.85</v>
      </c>
      <c r="F70" s="105">
        <v>0.83125499999999997</v>
      </c>
      <c r="G70" s="105">
        <v>0.79939877988220764</v>
      </c>
      <c r="H70" s="105"/>
      <c r="I70" s="97">
        <v>7281.7937999999995</v>
      </c>
      <c r="J70" s="97">
        <f t="shared" si="47"/>
        <v>7024.5372051562326</v>
      </c>
      <c r="K70" s="97">
        <v>6918.7734251451957</v>
      </c>
      <c r="L70" s="105">
        <v>0.06</v>
      </c>
      <c r="M70" s="105">
        <v>5.8287924222086528E-2</v>
      </c>
      <c r="N70" s="105">
        <f t="shared" si="48"/>
        <v>0.06</v>
      </c>
      <c r="O70" s="97">
        <f t="shared" si="49"/>
        <v>6844.8861719999995</v>
      </c>
      <c r="P70" s="97">
        <v>6615.0915128468587</v>
      </c>
      <c r="Q70" s="97">
        <f t="shared" si="50"/>
        <v>6503.6470196364835</v>
      </c>
      <c r="R70" s="97">
        <v>2375</v>
      </c>
      <c r="S70" s="97">
        <v>2395.5449200383628</v>
      </c>
      <c r="T70" s="97">
        <f t="shared" si="51"/>
        <v>2375</v>
      </c>
      <c r="U70" s="97">
        <v>0.5</v>
      </c>
      <c r="V70" s="97">
        <v>0.40076001759023228</v>
      </c>
      <c r="W70" s="97">
        <f t="shared" si="62"/>
        <v>0.5</v>
      </c>
      <c r="X70" s="97">
        <v>10354.860804599088</v>
      </c>
      <c r="Y70" s="97">
        <f t="shared" si="53"/>
        <v>9664.1703858340352</v>
      </c>
      <c r="Z70" s="97">
        <f>'Price &amp; GCV of fuels'!H89</f>
        <v>9664.1703858340352</v>
      </c>
      <c r="AA70" s="97">
        <v>3791.3746609646087</v>
      </c>
      <c r="AB70" s="97">
        <v>3421.8040213381669</v>
      </c>
      <c r="AC70" s="97">
        <f>'Price &amp; GCV of fuels'!AB89</f>
        <v>3636.0855088635913</v>
      </c>
      <c r="AD70" s="97">
        <v>47404.473862148632</v>
      </c>
      <c r="AE70" s="97">
        <f t="shared" si="54"/>
        <v>56645.226074140985</v>
      </c>
      <c r="AF70" s="97">
        <f>'Price &amp; GCV of fuels'!K89</f>
        <v>56645.226074140985</v>
      </c>
      <c r="AG70" s="97">
        <v>3831.6363715000375</v>
      </c>
      <c r="AH70" s="97">
        <v>5122.6006883621358</v>
      </c>
      <c r="AI70" s="97">
        <f>'Price &amp; GCV of fuels'!AF89</f>
        <v>5321.5733410960411</v>
      </c>
      <c r="AJ70" s="97">
        <f t="shared" si="55"/>
        <v>0.62505628736643126</v>
      </c>
      <c r="AK70" s="97">
        <f t="shared" si="55"/>
        <v>0.6989505804628835</v>
      </c>
      <c r="AL70" s="97">
        <f t="shared" si="55"/>
        <v>0.65184603305653466</v>
      </c>
      <c r="AM70" s="124">
        <f t="shared" si="56"/>
        <v>2.5730751508926297</v>
      </c>
      <c r="AN70" s="124">
        <f t="shared" si="56"/>
        <v>3.8261650870641448</v>
      </c>
      <c r="AO70" s="124">
        <f t="shared" si="56"/>
        <v>3.7203926436701429</v>
      </c>
      <c r="AP70" s="97">
        <f t="shared" si="57"/>
        <v>1761.2406519861772</v>
      </c>
      <c r="AQ70" s="129">
        <v>2530.780381053823</v>
      </c>
      <c r="AR70" s="97">
        <f t="shared" si="57"/>
        <v>2419.6120528882825</v>
      </c>
      <c r="AT70" s="9">
        <f t="shared" si="58"/>
        <v>2400.0162786471274</v>
      </c>
      <c r="AU70" s="9">
        <f t="shared" si="59"/>
        <v>19.595774241155421</v>
      </c>
      <c r="AV70" s="13">
        <f t="shared" si="60"/>
        <v>2419.612052888283</v>
      </c>
      <c r="AX70" s="91">
        <v>2436.0944381600211</v>
      </c>
      <c r="AY70" s="91">
        <f t="shared" si="61"/>
        <v>-16.482385271738622</v>
      </c>
      <c r="AZ70" s="91">
        <v>2436.7041101629297</v>
      </c>
      <c r="BA70" s="91">
        <v>19.895324902614462</v>
      </c>
      <c r="BB70" s="91">
        <v>2456.5994350655442</v>
      </c>
      <c r="BD70" s="7" t="s">
        <v>159</v>
      </c>
      <c r="BE70" s="97">
        <v>2958.0097906352548</v>
      </c>
      <c r="BF70" s="9">
        <v>2791.2698144802498</v>
      </c>
      <c r="BG70" s="130">
        <v>4.0446053004803435</v>
      </c>
    </row>
    <row r="71" spans="1:59" x14ac:dyDescent="0.35">
      <c r="B71" s="7" t="s">
        <v>160</v>
      </c>
      <c r="C71" s="105">
        <v>0.85</v>
      </c>
      <c r="D71" s="105">
        <v>0.65559346931688534</v>
      </c>
      <c r="E71" s="105">
        <f t="shared" si="46"/>
        <v>0.85</v>
      </c>
      <c r="F71" s="105">
        <v>0.73714333333333326</v>
      </c>
      <c r="G71" s="105">
        <v>0.63497862382118975</v>
      </c>
      <c r="H71" s="105"/>
      <c r="I71" s="97">
        <v>1614.3438999999998</v>
      </c>
      <c r="J71" s="97">
        <f t="shared" si="47"/>
        <v>1423.4173173159465</v>
      </c>
      <c r="K71" s="97">
        <v>1479.2287620939305</v>
      </c>
      <c r="L71" s="105">
        <v>8.5000000000000006E-2</v>
      </c>
      <c r="M71" s="105">
        <v>0.10491904247270492</v>
      </c>
      <c r="N71" s="105">
        <f t="shared" si="48"/>
        <v>8.5000000000000006E-2</v>
      </c>
      <c r="O71" s="97">
        <f t="shared" si="49"/>
        <v>1477.1246684999999</v>
      </c>
      <c r="P71" s="97">
        <v>1274.0737353440911</v>
      </c>
      <c r="Q71" s="97">
        <f t="shared" si="50"/>
        <v>1353.4943173159465</v>
      </c>
      <c r="R71" s="97">
        <v>2430</v>
      </c>
      <c r="S71" s="97">
        <v>2473.6917610781993</v>
      </c>
      <c r="T71" s="97">
        <f t="shared" si="51"/>
        <v>2430</v>
      </c>
      <c r="U71" s="97">
        <v>0.5</v>
      </c>
      <c r="V71" s="97">
        <v>1.5152865876352914</v>
      </c>
      <c r="W71" s="97">
        <f t="shared" si="62"/>
        <v>0.5</v>
      </c>
      <c r="X71" s="97">
        <v>10346</v>
      </c>
      <c r="Y71" s="97">
        <f t="shared" si="53"/>
        <v>9427.785610818537</v>
      </c>
      <c r="Z71" s="97">
        <f>'Price &amp; GCV of fuels'!H90</f>
        <v>9427.785610818537</v>
      </c>
      <c r="AA71" s="97">
        <v>3272.0240247141805</v>
      </c>
      <c r="AB71" s="97">
        <v>3382.5069577867284</v>
      </c>
      <c r="AC71" s="97">
        <f>'Price &amp; GCV of fuels'!AB90</f>
        <v>3411.8141991227503</v>
      </c>
      <c r="AD71" s="97">
        <v>44055.388079696677</v>
      </c>
      <c r="AE71" s="97">
        <f t="shared" si="54"/>
        <v>53763.33157724981</v>
      </c>
      <c r="AF71" s="97">
        <f>'Price &amp; GCV of fuels'!K90</f>
        <v>53763.33157724981</v>
      </c>
      <c r="AG71" s="97">
        <v>4983.0245747653298</v>
      </c>
      <c r="AH71" s="97">
        <v>5517.6453822166131</v>
      </c>
      <c r="AI71" s="97">
        <f>'Price &amp; GCV of fuels'!AF90</f>
        <v>5526.2891092119025</v>
      </c>
      <c r="AJ71" s="97">
        <f t="shared" si="55"/>
        <v>0.74107860507283863</v>
      </c>
      <c r="AK71" s="97">
        <f t="shared" si="55"/>
        <v>0.72709561123867883</v>
      </c>
      <c r="AL71" s="97">
        <f t="shared" si="55"/>
        <v>0.71084940903821292</v>
      </c>
      <c r="AM71" s="124">
        <f t="shared" si="56"/>
        <v>4.0599350764487578</v>
      </c>
      <c r="AN71" s="124">
        <f t="shared" si="56"/>
        <v>4.5731311370254843</v>
      </c>
      <c r="AO71" s="124">
        <f t="shared" si="56"/>
        <v>4.3226677740395827</v>
      </c>
      <c r="AP71" s="97">
        <f t="shared" si="57"/>
        <v>599.70302539308932</v>
      </c>
      <c r="AQ71" s="129">
        <v>583.15760683661688</v>
      </c>
      <c r="AR71" s="97">
        <f t="shared" si="57"/>
        <v>585.07062678073476</v>
      </c>
      <c r="AT71" s="9">
        <f t="shared" si="58"/>
        <v>581.09421345998157</v>
      </c>
      <c r="AU71" s="9">
        <f t="shared" si="59"/>
        <v>3.9764133207530388</v>
      </c>
      <c r="AV71" s="13">
        <f t="shared" si="60"/>
        <v>585.07062678073464</v>
      </c>
      <c r="AX71" s="91">
        <v>585.07062678073464</v>
      </c>
      <c r="AY71" s="91">
        <f t="shared" si="61"/>
        <v>0</v>
      </c>
      <c r="AZ71" s="91">
        <v>559.16947238111095</v>
      </c>
      <c r="BA71" s="91">
        <v>3.8263828601828322</v>
      </c>
      <c r="BB71" s="91">
        <v>562.99585524129384</v>
      </c>
      <c r="BD71" s="7" t="s">
        <v>160</v>
      </c>
      <c r="BE71" s="97">
        <v>562.40352072214648</v>
      </c>
      <c r="BF71" s="9">
        <v>485.911</v>
      </c>
      <c r="BG71" s="130">
        <v>5.3045816411367994</v>
      </c>
    </row>
    <row r="72" spans="1:59" x14ac:dyDescent="0.35">
      <c r="B72" s="12" t="s">
        <v>27</v>
      </c>
      <c r="C72" s="7"/>
      <c r="D72" s="7"/>
      <c r="E72" s="7"/>
      <c r="F72" s="7"/>
      <c r="G72" s="7"/>
      <c r="H72" s="7"/>
      <c r="I72" s="98">
        <f>SUM(I59:I71)</f>
        <v>63580.13541092143</v>
      </c>
      <c r="J72" s="98">
        <f>SUM(J59:J71)</f>
        <v>63262.442673041514</v>
      </c>
      <c r="K72" s="98">
        <f>SUM(K59:K71)</f>
        <v>61784.595962993619</v>
      </c>
      <c r="L72" s="126">
        <f>SUMPRODUCT(I59:I71,L59:L71)/I72</f>
        <v>7.4268219205816874E-2</v>
      </c>
      <c r="M72" s="126">
        <f>SUMPRODUCT(J59:J71,M59:M71)/J72</f>
        <v>7.9685280826219229E-2</v>
      </c>
      <c r="N72" s="126">
        <f>SUMPRODUCT(K59:K71,N59:N71)/K72</f>
        <v>7.4843814786517138E-2</v>
      </c>
      <c r="O72" s="98">
        <f>SUM(O59:O71)</f>
        <v>58858.151977087604</v>
      </c>
      <c r="P72" s="98">
        <f>SUM(P59:P71)</f>
        <v>58221.357162887623</v>
      </c>
      <c r="Q72" s="98">
        <f>SUM(Q59:Q71)</f>
        <v>57160.401106079531</v>
      </c>
      <c r="R72" s="98">
        <f>SUMPRODUCT(I59:I71,R59:R71)/I72</f>
        <v>2458.2052775285692</v>
      </c>
      <c r="S72" s="98">
        <f>SUMPRODUCT(J59:J71,S59:S71)/J72</f>
        <v>2469.2069861739783</v>
      </c>
      <c r="T72" s="98">
        <f>SUMPRODUCT(K59:K71,T59:T71)/K72</f>
        <v>2455.2912453045242</v>
      </c>
      <c r="U72" s="98">
        <f>SUMPRODUCT(I59:I71,U59:U71)/I72</f>
        <v>0.72087380193959816</v>
      </c>
      <c r="V72" s="98">
        <f>SUMPRODUCT(J59:J71,V59:V71)/J72</f>
        <v>1.8172370466369541</v>
      </c>
      <c r="W72" s="98">
        <f>SUMPRODUCT(K59:K71,W59:W71)/K72</f>
        <v>0.73814209443492418</v>
      </c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8">
        <f>SUM(AP59:AP71)</f>
        <v>17492.417481136945</v>
      </c>
      <c r="AQ72" s="98">
        <f>SUM(AQ59:AQ71)</f>
        <v>23878.122480976013</v>
      </c>
      <c r="AR72" s="98">
        <f>SUM(AR59:AR71)</f>
        <v>22108.990204427999</v>
      </c>
      <c r="AT72" s="98">
        <f t="shared" ref="AT72:AV72" si="63">SUM(AT59:AT71)</f>
        <v>21839.927647001117</v>
      </c>
      <c r="AU72" s="98">
        <f t="shared" si="63"/>
        <v>269.06255742688592</v>
      </c>
      <c r="AV72" s="98">
        <f t="shared" si="63"/>
        <v>22108.990204427999</v>
      </c>
      <c r="AX72" s="127">
        <f>SUM(AX59:AX71)</f>
        <v>21795.260619708697</v>
      </c>
      <c r="AY72" s="127">
        <f>SUM(AY59:AY71)</f>
        <v>313.7295847193073</v>
      </c>
      <c r="AZ72" s="91">
        <v>21978.238493426557</v>
      </c>
      <c r="BA72" s="91">
        <v>272.14743564422639</v>
      </c>
      <c r="BB72" s="91">
        <v>22250.385929070781</v>
      </c>
      <c r="BE72" s="127">
        <f>SUM(BE59:BE71)</f>
        <v>22652.88571155582</v>
      </c>
      <c r="BF72" s="127">
        <f>SUM(BF59:BF71)</f>
        <v>20672.53929068365</v>
      </c>
      <c r="BG72" s="110">
        <f>SUMPRODUCT(BF59:BF71,BG59:BG71)/BF72</f>
        <v>4.2878644259754006</v>
      </c>
    </row>
    <row r="74" spans="1:59" x14ac:dyDescent="0.35">
      <c r="B74" s="3" t="s">
        <v>293</v>
      </c>
    </row>
    <row r="75" spans="1:59" x14ac:dyDescent="0.35">
      <c r="B75" s="187" t="s">
        <v>170</v>
      </c>
      <c r="C75" s="187" t="s">
        <v>273</v>
      </c>
      <c r="D75" s="187"/>
      <c r="E75" s="187"/>
      <c r="F75" s="187" t="s">
        <v>274</v>
      </c>
      <c r="G75" s="187"/>
      <c r="H75" s="187"/>
      <c r="I75" s="187" t="s">
        <v>275</v>
      </c>
      <c r="J75" s="187"/>
      <c r="K75" s="187"/>
      <c r="L75" s="187" t="s">
        <v>276</v>
      </c>
      <c r="M75" s="187"/>
      <c r="N75" s="187"/>
      <c r="O75" s="187" t="s">
        <v>277</v>
      </c>
      <c r="P75" s="187"/>
      <c r="Q75" s="187"/>
      <c r="R75" s="187" t="s">
        <v>278</v>
      </c>
      <c r="S75" s="187"/>
      <c r="T75" s="187"/>
      <c r="U75" s="187" t="s">
        <v>279</v>
      </c>
      <c r="V75" s="187"/>
      <c r="W75" s="187"/>
      <c r="X75" s="187" t="s">
        <v>280</v>
      </c>
      <c r="Y75" s="187"/>
      <c r="Z75" s="187"/>
      <c r="AA75" s="187" t="s">
        <v>281</v>
      </c>
      <c r="AB75" s="187"/>
      <c r="AC75" s="187"/>
      <c r="AD75" s="187" t="s">
        <v>282</v>
      </c>
      <c r="AE75" s="187"/>
      <c r="AF75" s="187"/>
      <c r="AG75" s="187" t="s">
        <v>283</v>
      </c>
      <c r="AH75" s="187"/>
      <c r="AI75" s="187"/>
      <c r="AJ75" s="187" t="s">
        <v>284</v>
      </c>
      <c r="AK75" s="187"/>
      <c r="AL75" s="187"/>
      <c r="AM75" s="187" t="s">
        <v>285</v>
      </c>
      <c r="AN75" s="187"/>
      <c r="AO75" s="187"/>
      <c r="AP75" s="187" t="s">
        <v>286</v>
      </c>
      <c r="AQ75" s="187"/>
      <c r="AR75" s="187"/>
    </row>
    <row r="76" spans="1:59" ht="30" x14ac:dyDescent="0.35">
      <c r="B76" s="187"/>
      <c r="C76" s="96" t="s">
        <v>294</v>
      </c>
      <c r="D76" s="6" t="s">
        <v>295</v>
      </c>
      <c r="E76" s="6" t="s">
        <v>132</v>
      </c>
      <c r="F76" s="96" t="s">
        <v>172</v>
      </c>
      <c r="G76" s="6" t="s">
        <v>295</v>
      </c>
      <c r="H76" s="6" t="s">
        <v>132</v>
      </c>
      <c r="I76" s="96" t="s">
        <v>172</v>
      </c>
      <c r="J76" s="6" t="s">
        <v>295</v>
      </c>
      <c r="K76" s="6" t="s">
        <v>132</v>
      </c>
      <c r="L76" s="96" t="s">
        <v>172</v>
      </c>
      <c r="M76" s="6" t="s">
        <v>295</v>
      </c>
      <c r="N76" s="6" t="s">
        <v>132</v>
      </c>
      <c r="O76" s="96" t="s">
        <v>172</v>
      </c>
      <c r="P76" s="6" t="s">
        <v>295</v>
      </c>
      <c r="Q76" s="6" t="s">
        <v>132</v>
      </c>
      <c r="R76" s="96" t="s">
        <v>172</v>
      </c>
      <c r="S76" s="6" t="s">
        <v>295</v>
      </c>
      <c r="T76" s="6" t="s">
        <v>132</v>
      </c>
      <c r="U76" s="96" t="s">
        <v>172</v>
      </c>
      <c r="V76" s="6" t="s">
        <v>295</v>
      </c>
      <c r="W76" s="6" t="s">
        <v>132</v>
      </c>
      <c r="X76" s="96" t="s">
        <v>172</v>
      </c>
      <c r="Y76" s="6" t="s">
        <v>295</v>
      </c>
      <c r="Z76" s="6" t="s">
        <v>132</v>
      </c>
      <c r="AA76" s="96" t="s">
        <v>172</v>
      </c>
      <c r="AB76" s="6" t="s">
        <v>295</v>
      </c>
      <c r="AC76" s="6" t="s">
        <v>132</v>
      </c>
      <c r="AD76" s="96" t="s">
        <v>172</v>
      </c>
      <c r="AE76" s="6" t="s">
        <v>295</v>
      </c>
      <c r="AF76" s="6" t="s">
        <v>132</v>
      </c>
      <c r="AG76" s="96" t="s">
        <v>172</v>
      </c>
      <c r="AH76" s="6" t="s">
        <v>295</v>
      </c>
      <c r="AI76" s="6" t="s">
        <v>132</v>
      </c>
      <c r="AJ76" s="96" t="s">
        <v>172</v>
      </c>
      <c r="AK76" s="6" t="s">
        <v>295</v>
      </c>
      <c r="AL76" s="6" t="s">
        <v>132</v>
      </c>
      <c r="AM76" s="96" t="s">
        <v>172</v>
      </c>
      <c r="AN76" s="6" t="s">
        <v>295</v>
      </c>
      <c r="AO76" s="6" t="s">
        <v>132</v>
      </c>
      <c r="AP76" s="96" t="s">
        <v>172</v>
      </c>
      <c r="AQ76" s="6" t="s">
        <v>295</v>
      </c>
      <c r="AR76" s="6" t="s">
        <v>132</v>
      </c>
      <c r="AT76" s="12" t="s">
        <v>287</v>
      </c>
      <c r="AU76" s="12" t="s">
        <v>288</v>
      </c>
      <c r="AV76" s="7"/>
    </row>
    <row r="77" spans="1:59" x14ac:dyDescent="0.35">
      <c r="A77" s="131">
        <v>210</v>
      </c>
      <c r="B77" s="7" t="s">
        <v>43</v>
      </c>
      <c r="C77" s="105">
        <v>0.8</v>
      </c>
      <c r="D77" s="105">
        <v>0.80846903306069762</v>
      </c>
      <c r="E77" s="105">
        <f>MIN(AVERAGE(D23,D41,D59)+5%,C77)</f>
        <v>0.79752843088717451</v>
      </c>
      <c r="F77" s="105">
        <v>0.70149500000000009</v>
      </c>
      <c r="G77" s="105">
        <v>0.80846903306069773</v>
      </c>
      <c r="H77" s="105">
        <f>E77</f>
        <v>0.79752843088717451</v>
      </c>
      <c r="I77" s="97">
        <v>1290.470202</v>
      </c>
      <c r="J77" s="97">
        <f>P77/(1-M77)</f>
        <v>1487.2596332184594</v>
      </c>
      <c r="K77" s="97">
        <f>A77*H77*24*366/1000</f>
        <v>1471.1528447517178</v>
      </c>
      <c r="L77" s="105">
        <v>0.1096</v>
      </c>
      <c r="M77" s="105">
        <v>0.1096</v>
      </c>
      <c r="N77" s="105">
        <f>L77</f>
        <v>0.1096</v>
      </c>
      <c r="O77" s="97">
        <f>I77*(1-L77)</f>
        <v>1149.0346678608</v>
      </c>
      <c r="P77" s="97">
        <v>1324.2559774177162</v>
      </c>
      <c r="Q77" s="97">
        <f>K77*(1-N77)</f>
        <v>1309.9144929669294</v>
      </c>
      <c r="R77" s="97">
        <v>2787</v>
      </c>
      <c r="S77" s="97">
        <v>2787.1431469648751</v>
      </c>
      <c r="T77" s="97">
        <f>R77</f>
        <v>2787</v>
      </c>
      <c r="U77" s="97">
        <v>1.4</v>
      </c>
      <c r="V77" s="97">
        <v>1.4</v>
      </c>
      <c r="W77" s="97">
        <f>U77</f>
        <v>1.4</v>
      </c>
      <c r="X77" s="97">
        <v>9830.5431413381302</v>
      </c>
      <c r="Y77" s="97">
        <v>9760.7608</v>
      </c>
      <c r="Z77" s="132">
        <v>9836.3163999999997</v>
      </c>
      <c r="AA77" s="97">
        <v>3939.9276719705058</v>
      </c>
      <c r="AB77" s="97">
        <v>3983.4688505495365</v>
      </c>
      <c r="AC77" s="97">
        <v>4029.3503486265454</v>
      </c>
      <c r="AD77" s="97">
        <v>42027.20275994089</v>
      </c>
      <c r="AE77" s="97">
        <v>40004.489122763691</v>
      </c>
      <c r="AF77" s="132">
        <v>62704.258125728447</v>
      </c>
      <c r="AG77" s="97">
        <v>5105.0592003479451</v>
      </c>
      <c r="AH77" s="97">
        <v>5681.9926395951006</v>
      </c>
      <c r="AI77" s="97">
        <v>5574.8744800689938</v>
      </c>
      <c r="AJ77" s="97">
        <f>(R77-U77*X77/1000)/AA77</f>
        <v>0.70388024108450864</v>
      </c>
      <c r="AK77" s="97">
        <f>(S77-V77*Y77/1000)/AB77</f>
        <v>0.6962469611033264</v>
      </c>
      <c r="AL77" s="97">
        <f>(T77-W77*Z77/1000)/AC77</f>
        <v>0.68825714249079628</v>
      </c>
      <c r="AM77" s="124">
        <v>4.1989999999999998</v>
      </c>
      <c r="AN77" s="124">
        <f>(AK77*AH77/1000+V77*AE77/10^6)/(1-M77)</f>
        <v>4.5059258682630574</v>
      </c>
      <c r="AO77" s="124">
        <f>(AL77*AI77/1000+W77*AF77/10^6)/(1-N77)</f>
        <v>4.4078314698710352</v>
      </c>
      <c r="AP77" s="97">
        <f>O77*AM77/10</f>
        <v>482.47965703474995</v>
      </c>
      <c r="AQ77" s="97">
        <f>P77*AN77/10</f>
        <v>596.69992648484663</v>
      </c>
      <c r="AR77" s="97">
        <f>Q77*AO77/10</f>
        <v>577.38823249397922</v>
      </c>
      <c r="AT77" s="9">
        <f>AL77*K77*AI77/10000</f>
        <v>564.47357581321955</v>
      </c>
      <c r="AU77" s="9">
        <f>W77*K77*AF77/10^7</f>
        <v>12.914656680759601</v>
      </c>
      <c r="AV77" s="13">
        <f>SUM(AT77:AU77)</f>
        <v>577.3882324939791</v>
      </c>
    </row>
    <row r="78" spans="1:59" x14ac:dyDescent="0.35">
      <c r="A78" s="131">
        <v>1920</v>
      </c>
      <c r="B78" s="7" t="s">
        <v>150</v>
      </c>
      <c r="C78" s="105">
        <v>0.8</v>
      </c>
      <c r="D78" s="105">
        <v>0.84895165384307625</v>
      </c>
      <c r="E78" s="105">
        <f t="shared" ref="E78:E89" si="64">MIN(AVERAGE(D24,D42,D60)+5%,C78)</f>
        <v>0.6793970788457222</v>
      </c>
      <c r="F78" s="105">
        <v>0.67538500000000001</v>
      </c>
      <c r="G78" s="105">
        <v>0.84895165384307625</v>
      </c>
      <c r="H78" s="105">
        <f t="shared" ref="H78:H89" si="65">E78</f>
        <v>0.6793970788457222</v>
      </c>
      <c r="I78" s="97">
        <v>11359.435391999999</v>
      </c>
      <c r="J78" s="97">
        <f t="shared" ref="J78:J89" si="66">P78/(1-M78)</f>
        <v>14278.687656317468</v>
      </c>
      <c r="K78" s="97">
        <f t="shared" ref="K78:K89" si="67">A78*H78*24*366/1000</f>
        <v>11458.221965915183</v>
      </c>
      <c r="L78" s="105">
        <v>7.8E-2</v>
      </c>
      <c r="M78" s="105">
        <v>7.8E-2</v>
      </c>
      <c r="N78" s="105">
        <f t="shared" ref="N78:N89" si="68">L78</f>
        <v>7.8E-2</v>
      </c>
      <c r="O78" s="97">
        <f t="shared" ref="O78:O89" si="69">I78*(1-L78)</f>
        <v>10473.399431424001</v>
      </c>
      <c r="P78" s="97">
        <v>13164.950019124706</v>
      </c>
      <c r="Q78" s="97">
        <f t="shared" ref="Q78:Q89" si="70">K78*(1-N78)</f>
        <v>10564.4806525738</v>
      </c>
      <c r="R78" s="97">
        <v>2688</v>
      </c>
      <c r="S78" s="97">
        <v>2688.5585363308501</v>
      </c>
      <c r="T78" s="97">
        <f t="shared" ref="T78:T89" si="71">R78</f>
        <v>2688</v>
      </c>
      <c r="U78" s="97">
        <v>1</v>
      </c>
      <c r="V78" s="97">
        <v>1</v>
      </c>
      <c r="W78" s="97">
        <f t="shared" ref="W78:W81" si="72">U78</f>
        <v>1</v>
      </c>
      <c r="X78" s="97">
        <v>10333.74673749099</v>
      </c>
      <c r="Y78" s="97">
        <v>9686.5029999999988</v>
      </c>
      <c r="Z78" s="132">
        <v>9592.4183295337425</v>
      </c>
      <c r="AA78" s="97">
        <v>3674.1599251529533</v>
      </c>
      <c r="AB78" s="97">
        <v>3427.4889816465311</v>
      </c>
      <c r="AC78" s="97">
        <v>3277.8058848265259</v>
      </c>
      <c r="AD78" s="97">
        <v>47115.320513112936</v>
      </c>
      <c r="AE78" s="97">
        <v>58006.294993265597</v>
      </c>
      <c r="AF78" s="132">
        <v>65185.751744005378</v>
      </c>
      <c r="AG78" s="97">
        <v>3298.1802841086305</v>
      </c>
      <c r="AH78" s="97">
        <v>4493.8562492454548</v>
      </c>
      <c r="AI78" s="97">
        <v>4549.7917088238628</v>
      </c>
      <c r="AJ78" s="97">
        <f t="shared" ref="AJ78:AL89" si="73">(R78-U78*X78/1000)/AA78</f>
        <v>0.72878326142840377</v>
      </c>
      <c r="AK78" s="97">
        <f t="shared" si="73"/>
        <v>0.78158443329085392</v>
      </c>
      <c r="AL78" s="97">
        <f t="shared" si="73"/>
        <v>0.81713428915032227</v>
      </c>
      <c r="AM78" s="124">
        <v>2.72</v>
      </c>
      <c r="AN78" s="124">
        <f t="shared" ref="AN78:AO89" si="74">(AK78*AH78/1000+V78*AE78/10^6)/(1-M78)</f>
        <v>3.8723800269526429</v>
      </c>
      <c r="AO78" s="124">
        <f t="shared" si="74"/>
        <v>4.1030114593447102</v>
      </c>
      <c r="AP78" s="97">
        <f t="shared" ref="AP78:AR89" si="75">O78*AM78/10</f>
        <v>2848.7646453473285</v>
      </c>
      <c r="AQ78" s="97">
        <f t="shared" si="75"/>
        <v>5097.9689509888321</v>
      </c>
      <c r="AR78" s="97">
        <f t="shared" si="75"/>
        <v>4334.6185179535787</v>
      </c>
      <c r="AT78" s="9">
        <f t="shared" ref="AT78:AT89" si="76">AL78*K78*AI78/10000</f>
        <v>4259.927236703792</v>
      </c>
      <c r="AU78" s="9">
        <f t="shared" ref="AU78:AU89" si="77">W78*K78*AF78/10^7</f>
        <v>74.691281249785632</v>
      </c>
      <c r="AV78" s="13">
        <f t="shared" ref="AV78:AV89" si="78">SUM(AT78:AU78)</f>
        <v>4334.6185179535778</v>
      </c>
    </row>
    <row r="79" spans="1:59" x14ac:dyDescent="0.35">
      <c r="A79" s="131">
        <v>840</v>
      </c>
      <c r="B79" s="7" t="s">
        <v>151</v>
      </c>
      <c r="C79" s="105">
        <v>0.85</v>
      </c>
      <c r="D79" s="105">
        <v>0.85407730202560694</v>
      </c>
      <c r="E79" s="105">
        <f t="shared" si="64"/>
        <v>0.74632241261148435</v>
      </c>
      <c r="F79" s="105">
        <v>0.67230048889184746</v>
      </c>
      <c r="G79" s="105">
        <v>0.85407730202560694</v>
      </c>
      <c r="H79" s="105">
        <f t="shared" si="65"/>
        <v>0.74632241261148435</v>
      </c>
      <c r="I79" s="97">
        <v>4947.0559174617702</v>
      </c>
      <c r="J79" s="97">
        <f t="shared" si="66"/>
        <v>6284.6424192252261</v>
      </c>
      <c r="K79" s="97">
        <f t="shared" si="67"/>
        <v>5506.7847007985947</v>
      </c>
      <c r="L79" s="105">
        <v>9.7000000000000003E-2</v>
      </c>
      <c r="M79" s="105">
        <v>9.7000000000000003E-2</v>
      </c>
      <c r="N79" s="105">
        <f t="shared" si="68"/>
        <v>9.7000000000000003E-2</v>
      </c>
      <c r="O79" s="97">
        <f t="shared" si="69"/>
        <v>4467.1914934679789</v>
      </c>
      <c r="P79" s="97">
        <v>5675.0321045603796</v>
      </c>
      <c r="Q79" s="97">
        <f t="shared" si="70"/>
        <v>4972.6265848211315</v>
      </c>
      <c r="R79" s="97">
        <v>2630</v>
      </c>
      <c r="S79" s="97">
        <v>2630.055709996931</v>
      </c>
      <c r="T79" s="97">
        <f t="shared" si="71"/>
        <v>2630</v>
      </c>
      <c r="U79" s="97">
        <v>1.2</v>
      </c>
      <c r="V79" s="97">
        <v>1.2</v>
      </c>
      <c r="W79" s="97">
        <f t="shared" si="72"/>
        <v>1.2</v>
      </c>
      <c r="X79" s="97">
        <v>10475.928630431306</v>
      </c>
      <c r="Y79" s="97">
        <v>9724.6994000000013</v>
      </c>
      <c r="Z79" s="132">
        <v>9490.9850322402399</v>
      </c>
      <c r="AA79" s="97">
        <v>3535.2628484992692</v>
      </c>
      <c r="AB79" s="97">
        <v>3601.107355115565</v>
      </c>
      <c r="AC79" s="97">
        <v>3397.4008915507125</v>
      </c>
      <c r="AD79" s="97">
        <v>48249.087957226446</v>
      </c>
      <c r="AE79" s="97">
        <v>69864.619008175927</v>
      </c>
      <c r="AF79" s="132">
        <v>67086.836368740798</v>
      </c>
      <c r="AG79" s="97">
        <v>3513.8577399821556</v>
      </c>
      <c r="AH79" s="97">
        <v>4772.8765675283021</v>
      </c>
      <c r="AI79" s="97">
        <v>4812.594985057327</v>
      </c>
      <c r="AJ79" s="97">
        <f t="shared" si="73"/>
        <v>0.74037744796107297</v>
      </c>
      <c r="AK79" s="97">
        <f t="shared" si="73"/>
        <v>0.72710580732823027</v>
      </c>
      <c r="AL79" s="97">
        <f t="shared" si="73"/>
        <v>0.77076886171242243</v>
      </c>
      <c r="AM79" s="124">
        <v>3.016</v>
      </c>
      <c r="AN79" s="124">
        <f t="shared" si="74"/>
        <v>3.93601751131835</v>
      </c>
      <c r="AO79" s="124">
        <f t="shared" si="74"/>
        <v>4.1970128041617247</v>
      </c>
      <c r="AP79" s="97">
        <f t="shared" si="75"/>
        <v>1347.3049544299424</v>
      </c>
      <c r="AQ79" s="97">
        <f t="shared" si="75"/>
        <v>2233.7025740843483</v>
      </c>
      <c r="AR79" s="97">
        <f t="shared" si="75"/>
        <v>2087.0177446809275</v>
      </c>
      <c r="AT79" s="9">
        <f t="shared" si="76"/>
        <v>2042.6858129840844</v>
      </c>
      <c r="AU79" s="9">
        <f t="shared" si="77"/>
        <v>44.331931696843263</v>
      </c>
      <c r="AV79" s="13">
        <f t="shared" si="78"/>
        <v>2087.0177446809275</v>
      </c>
    </row>
    <row r="80" spans="1:59" x14ac:dyDescent="0.35">
      <c r="A80" s="131">
        <v>210</v>
      </c>
      <c r="B80" s="7" t="s">
        <v>44</v>
      </c>
      <c r="C80" s="105">
        <v>0.72</v>
      </c>
      <c r="D80" s="105">
        <v>0.85408538841000359</v>
      </c>
      <c r="E80" s="105">
        <f t="shared" si="64"/>
        <v>0.72</v>
      </c>
      <c r="F80" s="105">
        <v>0.35617997230969733</v>
      </c>
      <c r="G80" s="105">
        <v>0.85408538841000359</v>
      </c>
      <c r="H80" s="105">
        <f t="shared" si="65"/>
        <v>0.72</v>
      </c>
      <c r="I80" s="97">
        <v>1310.4573541218385</v>
      </c>
      <c r="J80" s="97">
        <f t="shared" si="66"/>
        <v>1571.1754805190426</v>
      </c>
      <c r="K80" s="97">
        <f t="shared" si="67"/>
        <v>1328.1407999999999</v>
      </c>
      <c r="L80" s="105">
        <v>0.1081</v>
      </c>
      <c r="M80" s="105">
        <v>0.09</v>
      </c>
      <c r="N80" s="105">
        <f t="shared" si="68"/>
        <v>0.1081</v>
      </c>
      <c r="O80" s="97">
        <f t="shared" si="69"/>
        <v>1168.7969141412677</v>
      </c>
      <c r="P80" s="97">
        <v>1429.7696872723288</v>
      </c>
      <c r="Q80" s="97">
        <f t="shared" si="70"/>
        <v>1184.5687795199999</v>
      </c>
      <c r="R80" s="97">
        <v>2622</v>
      </c>
      <c r="S80" s="97">
        <v>2354.0445185172994</v>
      </c>
      <c r="T80" s="97">
        <f>R80*0+2350</f>
        <v>2350</v>
      </c>
      <c r="U80" s="97">
        <v>2.81</v>
      </c>
      <c r="V80" s="97">
        <v>2.81</v>
      </c>
      <c r="W80" s="97">
        <f t="shared" si="72"/>
        <v>2.81</v>
      </c>
      <c r="X80" s="97">
        <v>10328.102863339926</v>
      </c>
      <c r="Y80" s="97">
        <v>9168.1211999999996</v>
      </c>
      <c r="Z80" s="132">
        <v>9400.9202402932915</v>
      </c>
      <c r="AA80" s="97">
        <v>3720.3151246563252</v>
      </c>
      <c r="AB80" s="97">
        <v>3846.6243365121863</v>
      </c>
      <c r="AC80" s="97">
        <v>3730.8854428316977</v>
      </c>
      <c r="AD80" s="97">
        <v>49431.485095439122</v>
      </c>
      <c r="AE80" s="97">
        <v>53890.418793632802</v>
      </c>
      <c r="AF80" s="132">
        <v>65031.020176348335</v>
      </c>
      <c r="AG80" s="97">
        <v>4037.2505462622839</v>
      </c>
      <c r="AH80" s="97">
        <v>5197.5066141746029</v>
      </c>
      <c r="AI80" s="97">
        <v>4459.0517722009063</v>
      </c>
      <c r="AJ80" s="97">
        <f t="shared" si="73"/>
        <v>0.69697806343583557</v>
      </c>
      <c r="AK80" s="97">
        <f t="shared" si="73"/>
        <v>0.6052793031659548</v>
      </c>
      <c r="AL80" s="97">
        <f t="shared" si="73"/>
        <v>0.62279677297226366</v>
      </c>
      <c r="AM80" s="124">
        <v>3.399</v>
      </c>
      <c r="AN80" s="124">
        <f t="shared" si="74"/>
        <v>3.6234892949869817</v>
      </c>
      <c r="AO80" s="124">
        <f t="shared" si="74"/>
        <v>3.3185561396328245</v>
      </c>
      <c r="AP80" s="97">
        <f t="shared" si="75"/>
        <v>397.27407111661694</v>
      </c>
      <c r="AQ80" s="97">
        <f t="shared" si="75"/>
        <v>518.07551561281684</v>
      </c>
      <c r="AR80" s="97">
        <f t="shared" si="75"/>
        <v>393.10579960934575</v>
      </c>
      <c r="AT80" s="9">
        <f t="shared" si="76"/>
        <v>368.83573093287117</v>
      </c>
      <c r="AU80" s="9">
        <f t="shared" si="77"/>
        <v>24.270068676474629</v>
      </c>
      <c r="AV80" s="13">
        <f t="shared" si="78"/>
        <v>393.10579960934581</v>
      </c>
    </row>
    <row r="81" spans="1:48" x14ac:dyDescent="0.35">
      <c r="A81" s="131">
        <v>630</v>
      </c>
      <c r="B81" s="7" t="s">
        <v>152</v>
      </c>
      <c r="C81" s="105">
        <v>0.8</v>
      </c>
      <c r="D81" s="105">
        <v>0.80188992417333693</v>
      </c>
      <c r="E81" s="105">
        <f t="shared" si="64"/>
        <v>0.8</v>
      </c>
      <c r="F81" s="105">
        <v>0.8</v>
      </c>
      <c r="G81" s="105">
        <v>0.80188992417333693</v>
      </c>
      <c r="H81" s="105">
        <f t="shared" si="65"/>
        <v>0.8</v>
      </c>
      <c r="I81" s="97">
        <v>4415.04</v>
      </c>
      <c r="J81" s="97">
        <f t="shared" si="66"/>
        <v>4425.4701135278119</v>
      </c>
      <c r="K81" s="97">
        <f t="shared" si="67"/>
        <v>4427.1360000000004</v>
      </c>
      <c r="L81" s="105">
        <v>0.1075</v>
      </c>
      <c r="M81" s="105">
        <v>0.1075</v>
      </c>
      <c r="N81" s="105">
        <f t="shared" si="68"/>
        <v>0.1075</v>
      </c>
      <c r="O81" s="97">
        <f t="shared" si="69"/>
        <v>3940.4231999999997</v>
      </c>
      <c r="P81" s="97">
        <v>3949.7320763235721</v>
      </c>
      <c r="Q81" s="97">
        <f t="shared" si="70"/>
        <v>3951.2188800000004</v>
      </c>
      <c r="R81" s="97">
        <v>2754</v>
      </c>
      <c r="S81" s="97">
        <v>2754.0225877619469</v>
      </c>
      <c r="T81" s="97">
        <f t="shared" si="71"/>
        <v>2754</v>
      </c>
      <c r="U81" s="97">
        <v>1</v>
      </c>
      <c r="V81" s="97">
        <v>1</v>
      </c>
      <c r="W81" s="97">
        <f t="shared" si="72"/>
        <v>1</v>
      </c>
      <c r="X81" s="97">
        <v>10446.381585279727</v>
      </c>
      <c r="Y81" s="97">
        <v>9583.9288000000015</v>
      </c>
      <c r="Z81" s="132">
        <v>9864.5516000000025</v>
      </c>
      <c r="AA81" s="97">
        <v>3963.7406405681891</v>
      </c>
      <c r="AB81" s="97">
        <v>3421.2482432806878</v>
      </c>
      <c r="AC81" s="97">
        <v>3554.215412143617</v>
      </c>
      <c r="AD81" s="97">
        <v>45491.248007185437</v>
      </c>
      <c r="AE81" s="97">
        <v>67326.811495299276</v>
      </c>
      <c r="AF81" s="132">
        <v>66982.337100930046</v>
      </c>
      <c r="AG81" s="97">
        <v>4536.020314220139</v>
      </c>
      <c r="AH81" s="97">
        <v>5553.8176526578845</v>
      </c>
      <c r="AI81" s="97">
        <v>5285.4766427840659</v>
      </c>
      <c r="AJ81" s="97">
        <f t="shared" si="73"/>
        <v>0.69216274907972819</v>
      </c>
      <c r="AK81" s="97">
        <f t="shared" si="73"/>
        <v>0.80217466369241364</v>
      </c>
      <c r="AL81" s="97">
        <f t="shared" si="73"/>
        <v>0.77207910331606999</v>
      </c>
      <c r="AM81" s="124">
        <v>3.66</v>
      </c>
      <c r="AN81" s="124">
        <f t="shared" si="74"/>
        <v>5.0671805257424403</v>
      </c>
      <c r="AO81" s="124">
        <f t="shared" si="74"/>
        <v>4.6473819653329782</v>
      </c>
      <c r="AP81" s="97">
        <f t="shared" si="75"/>
        <v>1442.1948912</v>
      </c>
      <c r="AQ81" s="97">
        <f t="shared" si="75"/>
        <v>2001.4005459047057</v>
      </c>
      <c r="AR81" s="97">
        <f t="shared" si="75"/>
        <v>1836.2823363995171</v>
      </c>
      <c r="AT81" s="9">
        <f t="shared" si="76"/>
        <v>1806.6283448051513</v>
      </c>
      <c r="AU81" s="9">
        <f t="shared" si="77"/>
        <v>29.653991594366307</v>
      </c>
      <c r="AV81" s="13">
        <f t="shared" si="78"/>
        <v>1836.2823363995176</v>
      </c>
    </row>
    <row r="82" spans="1:48" x14ac:dyDescent="0.35">
      <c r="A82" s="131">
        <v>672</v>
      </c>
      <c r="B82" s="7" t="s">
        <v>154</v>
      </c>
      <c r="C82" s="105">
        <v>0.85</v>
      </c>
      <c r="D82" s="105">
        <v>0.35333632351406941</v>
      </c>
      <c r="E82" s="105">
        <f t="shared" si="64"/>
        <v>0.38107800936059361</v>
      </c>
      <c r="F82" s="105">
        <v>0.50811666666666666</v>
      </c>
      <c r="G82" s="105">
        <v>0.26513882093933461</v>
      </c>
      <c r="H82" s="105">
        <f t="shared" si="65"/>
        <v>0.38107800936059361</v>
      </c>
      <c r="I82" s="97">
        <v>2991.1405440000003</v>
      </c>
      <c r="J82" s="97">
        <f t="shared" si="66"/>
        <v>1560.7979999999998</v>
      </c>
      <c r="K82" s="97">
        <f t="shared" si="67"/>
        <v>2249.4455653981613</v>
      </c>
      <c r="L82" s="105">
        <v>3.1E-2</v>
      </c>
      <c r="M82" s="105">
        <v>3.1E-2</v>
      </c>
      <c r="N82" s="105">
        <f t="shared" si="68"/>
        <v>3.1E-2</v>
      </c>
      <c r="O82" s="97">
        <f t="shared" si="69"/>
        <v>2898.4151871360004</v>
      </c>
      <c r="P82" s="97">
        <v>1512.4132619999998</v>
      </c>
      <c r="Q82" s="97">
        <f t="shared" si="70"/>
        <v>2179.7127528708183</v>
      </c>
      <c r="R82" s="97">
        <v>2035</v>
      </c>
      <c r="S82" s="97">
        <v>2348.4802947018125</v>
      </c>
      <c r="T82" s="97">
        <f t="shared" si="71"/>
        <v>2035</v>
      </c>
      <c r="U82" s="97"/>
      <c r="V82" s="97"/>
      <c r="W82" s="97"/>
      <c r="X82" s="97"/>
      <c r="Y82" s="97"/>
      <c r="Z82" s="129"/>
      <c r="AA82" s="97">
        <v>8365.74</v>
      </c>
      <c r="AB82" s="97">
        <f>AB64</f>
        <v>8345</v>
      </c>
      <c r="AC82" s="97">
        <v>8815.1658819976183</v>
      </c>
      <c r="AD82" s="97"/>
      <c r="AE82" s="97"/>
      <c r="AF82" s="129"/>
      <c r="AG82" s="97">
        <v>11339.142950328733</v>
      </c>
      <c r="AH82" s="97">
        <v>29463</v>
      </c>
      <c r="AI82" s="97">
        <v>28374.690266815163</v>
      </c>
      <c r="AJ82" s="97">
        <f t="shared" si="73"/>
        <v>0.2432540337136942</v>
      </c>
      <c r="AK82" s="97">
        <f t="shared" si="73"/>
        <v>0.2814236422650464</v>
      </c>
      <c r="AL82" s="97">
        <f t="shared" si="73"/>
        <v>0.23085215040092308</v>
      </c>
      <c r="AM82" s="124">
        <v>2.9319999999999999</v>
      </c>
      <c r="AN82" s="124">
        <f t="shared" si="74"/>
        <v>8.5568470299845849</v>
      </c>
      <c r="AO82" s="124">
        <f t="shared" si="74"/>
        <v>6.7599156502109619</v>
      </c>
      <c r="AP82" s="97">
        <f t="shared" si="75"/>
        <v>849.81533286827528</v>
      </c>
      <c r="AQ82" s="97">
        <f t="shared" si="75"/>
        <v>1294.1488929053996</v>
      </c>
      <c r="AR82" s="97">
        <f t="shared" si="75"/>
        <v>1473.4674351095864</v>
      </c>
      <c r="AT82" s="9">
        <f t="shared" si="76"/>
        <v>1473.4674351095864</v>
      </c>
      <c r="AU82" s="9">
        <f t="shared" si="77"/>
        <v>0</v>
      </c>
      <c r="AV82" s="13">
        <f t="shared" si="78"/>
        <v>1473.4674351095864</v>
      </c>
    </row>
    <row r="83" spans="1:48" x14ac:dyDescent="0.35">
      <c r="A83" s="131">
        <v>500</v>
      </c>
      <c r="B83" s="7" t="s">
        <v>155</v>
      </c>
      <c r="C83" s="105">
        <v>0.85</v>
      </c>
      <c r="D83" s="105">
        <v>0.84708237662401653</v>
      </c>
      <c r="E83" s="105">
        <f t="shared" si="64"/>
        <v>0.83700858800411615</v>
      </c>
      <c r="F83" s="105">
        <v>0.79890833333333344</v>
      </c>
      <c r="G83" s="105">
        <v>0.84708237662401653</v>
      </c>
      <c r="H83" s="105">
        <f t="shared" si="65"/>
        <v>0.83700858800411615</v>
      </c>
      <c r="I83" s="97">
        <v>3499.2185000000004</v>
      </c>
      <c r="J83" s="97">
        <f t="shared" si="66"/>
        <v>3710.2208096131926</v>
      </c>
      <c r="K83" s="97">
        <f t="shared" si="67"/>
        <v>3676.1417185140781</v>
      </c>
      <c r="L83" s="105">
        <v>9.2999999999999999E-2</v>
      </c>
      <c r="M83" s="105">
        <v>9.2999999999999999E-2</v>
      </c>
      <c r="N83" s="105">
        <f t="shared" si="68"/>
        <v>9.2999999999999999E-2</v>
      </c>
      <c r="O83" s="97">
        <f t="shared" si="69"/>
        <v>3173.7911795000005</v>
      </c>
      <c r="P83" s="97">
        <v>3365.1702743191659</v>
      </c>
      <c r="Q83" s="97">
        <f t="shared" si="70"/>
        <v>3334.2605386922687</v>
      </c>
      <c r="R83" s="97">
        <v>2430</v>
      </c>
      <c r="S83" s="97">
        <v>2429.983509918487</v>
      </c>
      <c r="T83" s="97">
        <f t="shared" si="71"/>
        <v>2430</v>
      </c>
      <c r="U83" s="97">
        <v>0.5</v>
      </c>
      <c r="V83" s="97">
        <v>0.5</v>
      </c>
      <c r="W83" s="97">
        <f t="shared" ref="W83:W89" si="79">U83</f>
        <v>0.5</v>
      </c>
      <c r="X83" s="97">
        <v>10446.381585279727</v>
      </c>
      <c r="Y83" s="97">
        <v>9575.2300000000014</v>
      </c>
      <c r="Z83" s="132">
        <v>9688.4838182499589</v>
      </c>
      <c r="AA83" s="97">
        <v>3478.4241214837384</v>
      </c>
      <c r="AB83" s="97">
        <v>3657.7285677703489</v>
      </c>
      <c r="AC83" s="97">
        <v>3370.1179015918715</v>
      </c>
      <c r="AD83" s="97">
        <v>42927.840002499113</v>
      </c>
      <c r="AE83" s="97">
        <v>69909.150315190069</v>
      </c>
      <c r="AF83" s="132">
        <v>69152.70514643639</v>
      </c>
      <c r="AG83" s="97">
        <v>4062.4917449669551</v>
      </c>
      <c r="AH83" s="97">
        <v>4450.3387207172373</v>
      </c>
      <c r="AI83" s="97">
        <v>4342.0940993437689</v>
      </c>
      <c r="AJ83" s="97">
        <f t="shared" si="73"/>
        <v>0.69709061475029677</v>
      </c>
      <c r="AK83" s="97">
        <f t="shared" si="73"/>
        <v>0.66303331425076728</v>
      </c>
      <c r="AL83" s="97">
        <f t="shared" si="73"/>
        <v>0.71960561289127467</v>
      </c>
      <c r="AM83" s="124">
        <v>3.2269999999999999</v>
      </c>
      <c r="AN83" s="124">
        <f t="shared" si="74"/>
        <v>3.2918163249098837</v>
      </c>
      <c r="AO83" s="124">
        <f t="shared" si="74"/>
        <v>3.4830999318225779</v>
      </c>
      <c r="AP83" s="97">
        <f t="shared" si="75"/>
        <v>1024.1824136246501</v>
      </c>
      <c r="AQ83" s="97">
        <f t="shared" si="75"/>
        <v>1107.7522445105301</v>
      </c>
      <c r="AR83" s="97">
        <f t="shared" si="75"/>
        <v>1161.3562654997754</v>
      </c>
      <c r="AT83" s="9">
        <f t="shared" si="76"/>
        <v>1148.6455082829298</v>
      </c>
      <c r="AU83" s="9">
        <f t="shared" si="77"/>
        <v>12.7107572168459</v>
      </c>
      <c r="AV83" s="13">
        <f t="shared" si="78"/>
        <v>1161.3562654997756</v>
      </c>
    </row>
    <row r="84" spans="1:48" x14ac:dyDescent="0.35">
      <c r="A84" s="131">
        <v>500</v>
      </c>
      <c r="B84" s="7" t="s">
        <v>156</v>
      </c>
      <c r="C84" s="105">
        <v>0.85</v>
      </c>
      <c r="D84" s="105">
        <v>0.84956620273178673</v>
      </c>
      <c r="E84" s="105">
        <f t="shared" si="64"/>
        <v>0.85</v>
      </c>
      <c r="F84" s="105">
        <v>0.7874633333333334</v>
      </c>
      <c r="G84" s="105">
        <v>0.84956620273178673</v>
      </c>
      <c r="H84" s="105">
        <f t="shared" si="65"/>
        <v>0.85</v>
      </c>
      <c r="I84" s="97">
        <v>3449.0894000000003</v>
      </c>
      <c r="J84" s="97">
        <f t="shared" si="66"/>
        <v>3721.0999679652259</v>
      </c>
      <c r="K84" s="97">
        <f t="shared" si="67"/>
        <v>3733.2</v>
      </c>
      <c r="L84" s="105">
        <v>9.2999999999999999E-2</v>
      </c>
      <c r="M84" s="105">
        <v>9.2999999999999999E-2</v>
      </c>
      <c r="N84" s="105">
        <f t="shared" si="68"/>
        <v>9.2999999999999999E-2</v>
      </c>
      <c r="O84" s="97">
        <f t="shared" si="69"/>
        <v>3128.3240858000004</v>
      </c>
      <c r="P84" s="97">
        <v>3375.0376709444599</v>
      </c>
      <c r="Q84" s="97">
        <f t="shared" si="70"/>
        <v>3386.0124000000001</v>
      </c>
      <c r="R84" s="97">
        <v>2430</v>
      </c>
      <c r="S84" s="97">
        <v>2429.9975841093237</v>
      </c>
      <c r="T84" s="97">
        <f t="shared" si="71"/>
        <v>2430</v>
      </c>
      <c r="U84" s="97">
        <v>0.5</v>
      </c>
      <c r="V84" s="97">
        <v>0.5</v>
      </c>
      <c r="W84" s="97">
        <f t="shared" si="79"/>
        <v>0.5</v>
      </c>
      <c r="X84" s="97">
        <v>10346</v>
      </c>
      <c r="Y84" s="97">
        <v>9462.7569999999996</v>
      </c>
      <c r="Z84" s="132">
        <v>9327.3796000000002</v>
      </c>
      <c r="AA84" s="97">
        <v>3195.1644970603079</v>
      </c>
      <c r="AB84" s="97">
        <v>3439.2751524390242</v>
      </c>
      <c r="AC84" s="97">
        <v>3128.0093970918992</v>
      </c>
      <c r="AD84" s="97">
        <v>44051.788821722817</v>
      </c>
      <c r="AE84" s="97">
        <v>55023.893399999994</v>
      </c>
      <c r="AF84" s="132">
        <v>62694.695310161856</v>
      </c>
      <c r="AG84" s="97">
        <v>5038.4172673507373</v>
      </c>
      <c r="AH84" s="97">
        <v>5739.6349070000533</v>
      </c>
      <c r="AI84" s="97">
        <v>5925.9004540177684</v>
      </c>
      <c r="AJ84" s="97">
        <f t="shared" si="73"/>
        <v>0.75890521512458842</v>
      </c>
      <c r="AK84" s="97">
        <f t="shared" si="73"/>
        <v>0.70516783278866257</v>
      </c>
      <c r="AL84" s="97">
        <f t="shared" si="73"/>
        <v>0.77536094119628529</v>
      </c>
      <c r="AM84" s="124">
        <v>4.3600000000000003</v>
      </c>
      <c r="AN84" s="124">
        <f t="shared" si="74"/>
        <v>4.4927429493576447</v>
      </c>
      <c r="AO84" s="124">
        <f t="shared" si="74"/>
        <v>5.1003959218498256</v>
      </c>
      <c r="AP84" s="97">
        <f t="shared" si="75"/>
        <v>1363.9493014088002</v>
      </c>
      <c r="AQ84" s="97">
        <f t="shared" si="75"/>
        <v>1516.3176699952169</v>
      </c>
      <c r="AR84" s="97">
        <f t="shared" si="75"/>
        <v>1727.000383629294</v>
      </c>
      <c r="AT84" s="9">
        <f t="shared" si="76"/>
        <v>1715.2977918026995</v>
      </c>
      <c r="AU84" s="9">
        <f t="shared" si="77"/>
        <v>11.702591826594812</v>
      </c>
      <c r="AV84" s="13">
        <f t="shared" si="78"/>
        <v>1727.0003836292944</v>
      </c>
    </row>
    <row r="85" spans="1:48" x14ac:dyDescent="0.35">
      <c r="A85" s="131">
        <v>500</v>
      </c>
      <c r="B85" s="7" t="s">
        <v>8</v>
      </c>
      <c r="C85" s="105">
        <v>0.85</v>
      </c>
      <c r="D85" s="105">
        <v>0.85228080190331335</v>
      </c>
      <c r="E85" s="105">
        <f t="shared" si="64"/>
        <v>0.85</v>
      </c>
      <c r="F85" s="105">
        <v>0.81423156980454459</v>
      </c>
      <c r="G85" s="105">
        <v>0.85228080190331335</v>
      </c>
      <c r="H85" s="105">
        <f t="shared" si="65"/>
        <v>0.85</v>
      </c>
      <c r="I85" s="97">
        <v>3566.3342757439054</v>
      </c>
      <c r="J85" s="97">
        <f t="shared" si="66"/>
        <v>3732.9899123365126</v>
      </c>
      <c r="K85" s="97">
        <f t="shared" si="67"/>
        <v>3733.2</v>
      </c>
      <c r="L85" s="105">
        <v>0.06</v>
      </c>
      <c r="M85" s="105">
        <v>0.06</v>
      </c>
      <c r="N85" s="105">
        <f t="shared" si="68"/>
        <v>0.06</v>
      </c>
      <c r="O85" s="97">
        <f t="shared" si="69"/>
        <v>3352.354219199271</v>
      </c>
      <c r="P85" s="97">
        <v>3509.0105175963217</v>
      </c>
      <c r="Q85" s="97">
        <f t="shared" si="70"/>
        <v>3509.2079999999996</v>
      </c>
      <c r="R85" s="97">
        <v>2375</v>
      </c>
      <c r="S85" s="97">
        <v>2375.0130122096216</v>
      </c>
      <c r="T85" s="97">
        <f t="shared" si="71"/>
        <v>2375</v>
      </c>
      <c r="U85" s="97">
        <v>0.5</v>
      </c>
      <c r="V85" s="97">
        <v>0.5</v>
      </c>
      <c r="W85" s="97">
        <f t="shared" si="79"/>
        <v>0.5</v>
      </c>
      <c r="X85" s="97">
        <v>10500.369112605771</v>
      </c>
      <c r="Y85" s="97">
        <v>9724.6994000000013</v>
      </c>
      <c r="Z85" s="132">
        <v>9488.930302864992</v>
      </c>
      <c r="AA85" s="97">
        <v>3594.7891231346525</v>
      </c>
      <c r="AB85" s="97">
        <v>3662.1475636863074</v>
      </c>
      <c r="AC85" s="97">
        <v>3478.6006126602333</v>
      </c>
      <c r="AD85" s="97">
        <v>48305.190176354081</v>
      </c>
      <c r="AE85" s="97">
        <v>43093.283406838287</v>
      </c>
      <c r="AF85" s="132">
        <v>56002.836168607122</v>
      </c>
      <c r="AG85" s="97">
        <v>3647.165634052888</v>
      </c>
      <c r="AH85" s="97">
        <v>5460.253870053878</v>
      </c>
      <c r="AI85" s="97">
        <v>5486.3090677974924</v>
      </c>
      <c r="AJ85" s="97">
        <f t="shared" si="73"/>
        <v>0.65921803317833494</v>
      </c>
      <c r="AK85" s="97">
        <f t="shared" si="73"/>
        <v>0.64720239184568373</v>
      </c>
      <c r="AL85" s="97">
        <f t="shared" si="73"/>
        <v>0.68138191151410532</v>
      </c>
      <c r="AM85" s="124">
        <v>2.649</v>
      </c>
      <c r="AN85" s="124">
        <f t="shared" si="74"/>
        <v>3.7823787303052558</v>
      </c>
      <c r="AO85" s="124">
        <f t="shared" si="74"/>
        <v>4.0066735934652424</v>
      </c>
      <c r="AP85" s="97">
        <f t="shared" si="75"/>
        <v>888.03863266588689</v>
      </c>
      <c r="AQ85" s="97">
        <f t="shared" si="75"/>
        <v>1327.2406746173763</v>
      </c>
      <c r="AR85" s="97">
        <f t="shared" si="75"/>
        <v>1406.0251027576974</v>
      </c>
      <c r="AT85" s="9">
        <f t="shared" si="76"/>
        <v>1395.5716133584656</v>
      </c>
      <c r="AU85" s="9">
        <f t="shared" si="77"/>
        <v>10.453489399232204</v>
      </c>
      <c r="AV85" s="13">
        <f t="shared" si="78"/>
        <v>1406.0251027576978</v>
      </c>
    </row>
    <row r="86" spans="1:48" x14ac:dyDescent="0.35">
      <c r="A86" s="131">
        <v>1000</v>
      </c>
      <c r="B86" s="7" t="s">
        <v>157</v>
      </c>
      <c r="C86" s="105">
        <v>0.85</v>
      </c>
      <c r="D86" s="105">
        <v>0.84957534183321659</v>
      </c>
      <c r="E86" s="105">
        <f t="shared" si="64"/>
        <v>0.85</v>
      </c>
      <c r="F86" s="105">
        <v>0.85</v>
      </c>
      <c r="G86" s="105">
        <v>0.84957534183321659</v>
      </c>
      <c r="H86" s="105">
        <f t="shared" si="65"/>
        <v>0.85</v>
      </c>
      <c r="I86" s="97">
        <v>7446</v>
      </c>
      <c r="J86" s="97">
        <f t="shared" si="66"/>
        <v>7442.2799944589769</v>
      </c>
      <c r="K86" s="97">
        <f t="shared" si="67"/>
        <v>7466.4</v>
      </c>
      <c r="L86" s="105">
        <v>0.06</v>
      </c>
      <c r="M86" s="105">
        <v>0.06</v>
      </c>
      <c r="N86" s="105">
        <f t="shared" si="68"/>
        <v>0.06</v>
      </c>
      <c r="O86" s="97">
        <f t="shared" si="69"/>
        <v>6999.24</v>
      </c>
      <c r="P86" s="97">
        <v>6995.7431947914383</v>
      </c>
      <c r="Q86" s="97">
        <f t="shared" si="70"/>
        <v>7018.4159999999993</v>
      </c>
      <c r="R86" s="97">
        <v>2375</v>
      </c>
      <c r="S86" s="97">
        <v>2374.9975605537352</v>
      </c>
      <c r="T86" s="97">
        <f t="shared" si="71"/>
        <v>2375</v>
      </c>
      <c r="U86" s="97">
        <v>0.5</v>
      </c>
      <c r="V86" s="97">
        <v>0.5</v>
      </c>
      <c r="W86" s="97">
        <f t="shared" si="79"/>
        <v>0.5</v>
      </c>
      <c r="X86" s="97">
        <v>9844.0694151565749</v>
      </c>
      <c r="Y86" s="97">
        <v>9760.7608</v>
      </c>
      <c r="Z86" s="132">
        <v>9836.3163999999997</v>
      </c>
      <c r="AA86" s="97">
        <v>3700.4224947494922</v>
      </c>
      <c r="AB86" s="97">
        <v>3956.2802903177449</v>
      </c>
      <c r="AC86" s="97">
        <v>3888.6899936923883</v>
      </c>
      <c r="AD86" s="97">
        <v>42006.458860465114</v>
      </c>
      <c r="AE86" s="97">
        <v>48903.27307262965</v>
      </c>
      <c r="AF86" s="132">
        <v>64715.561873409984</v>
      </c>
      <c r="AG86" s="97">
        <v>5010.2909597322005</v>
      </c>
      <c r="AH86" s="97">
        <v>6446.9747247487212</v>
      </c>
      <c r="AI86" s="97">
        <v>5668.2801102798985</v>
      </c>
      <c r="AJ86" s="97">
        <f t="shared" si="73"/>
        <v>0.64048847629029149</v>
      </c>
      <c r="AK86" s="97">
        <f t="shared" si="73"/>
        <v>0.5990771649708827</v>
      </c>
      <c r="AL86" s="97">
        <f t="shared" si="73"/>
        <v>0.60948078804028294</v>
      </c>
      <c r="AM86" s="124">
        <v>3.524</v>
      </c>
      <c r="AN86" s="124">
        <f t="shared" si="74"/>
        <v>4.1347733800826765</v>
      </c>
      <c r="AO86" s="124">
        <f t="shared" si="74"/>
        <v>3.7096442653012334</v>
      </c>
      <c r="AP86" s="97">
        <f t="shared" si="75"/>
        <v>2466.5321759999997</v>
      </c>
      <c r="AQ86" s="97">
        <f t="shared" si="75"/>
        <v>2892.5812735718177</v>
      </c>
      <c r="AR86" s="97">
        <f t="shared" si="75"/>
        <v>2603.5826665898417</v>
      </c>
      <c r="AT86" s="9">
        <f t="shared" si="76"/>
        <v>2579.4230530312607</v>
      </c>
      <c r="AU86" s="9">
        <f t="shared" si="77"/>
        <v>24.159613558581416</v>
      </c>
      <c r="AV86" s="13">
        <f t="shared" si="78"/>
        <v>2603.5826665898421</v>
      </c>
    </row>
    <row r="87" spans="1:48" x14ac:dyDescent="0.35">
      <c r="A87" s="131">
        <v>1980</v>
      </c>
      <c r="B87" s="7" t="s">
        <v>158</v>
      </c>
      <c r="C87" s="105">
        <v>0.85</v>
      </c>
      <c r="D87" s="105">
        <v>0.84967763794381101</v>
      </c>
      <c r="E87" s="105">
        <f t="shared" si="64"/>
        <v>0.71684271338041483</v>
      </c>
      <c r="F87" s="105">
        <v>0.60016582062600443</v>
      </c>
      <c r="G87" s="105">
        <v>0.84967763794381101</v>
      </c>
      <c r="H87" s="105">
        <f t="shared" si="65"/>
        <v>0.71684271338041483</v>
      </c>
      <c r="I87" s="97">
        <v>10409.756125593922</v>
      </c>
      <c r="J87" s="97">
        <f t="shared" si="66"/>
        <v>14737.488694607813</v>
      </c>
      <c r="K87" s="97">
        <f t="shared" si="67"/>
        <v>12467.557860780455</v>
      </c>
      <c r="L87" s="105">
        <v>0.06</v>
      </c>
      <c r="M87" s="105">
        <v>0.06</v>
      </c>
      <c r="N87" s="105">
        <f t="shared" si="68"/>
        <v>0.06</v>
      </c>
      <c r="O87" s="97">
        <f t="shared" si="69"/>
        <v>9785.1707580582861</v>
      </c>
      <c r="P87" s="97">
        <v>13853.239372931344</v>
      </c>
      <c r="Q87" s="97">
        <f t="shared" si="70"/>
        <v>11719.504389133626</v>
      </c>
      <c r="R87" s="97">
        <v>2230</v>
      </c>
      <c r="S87" s="97">
        <v>2229.9982608378346</v>
      </c>
      <c r="T87" s="97">
        <f t="shared" si="71"/>
        <v>2230</v>
      </c>
      <c r="U87" s="97">
        <v>0.5</v>
      </c>
      <c r="V87" s="97">
        <v>0.5</v>
      </c>
      <c r="W87" s="97">
        <f t="shared" si="79"/>
        <v>0.5</v>
      </c>
      <c r="X87" s="97">
        <v>10520.504355722594</v>
      </c>
      <c r="Y87" s="97">
        <v>9168.1211999999978</v>
      </c>
      <c r="Z87" s="132">
        <v>9557.3890338084038</v>
      </c>
      <c r="AA87" s="97">
        <v>3531.2789094092705</v>
      </c>
      <c r="AB87" s="97">
        <v>3929.4334891061853</v>
      </c>
      <c r="AC87" s="97">
        <v>4041.6705340618073</v>
      </c>
      <c r="AD87" s="97">
        <v>49559.037978478911</v>
      </c>
      <c r="AE87" s="97">
        <v>66457.047072000685</v>
      </c>
      <c r="AF87" s="132">
        <v>65020.460319369799</v>
      </c>
      <c r="AG87" s="97">
        <v>3538.2874110237881</v>
      </c>
      <c r="AH87" s="97">
        <v>5691.2414179479774</v>
      </c>
      <c r="AI87" s="97">
        <v>5205.5034799591458</v>
      </c>
      <c r="AJ87" s="97">
        <f t="shared" si="73"/>
        <v>0.63000963812125055</v>
      </c>
      <c r="AK87" s="97">
        <f t="shared" si="73"/>
        <v>0.56634479407972915</v>
      </c>
      <c r="AL87" s="97">
        <f t="shared" si="73"/>
        <v>0.55056969308351511</v>
      </c>
      <c r="AM87" s="124">
        <v>2.4569999999999999</v>
      </c>
      <c r="AN87" s="124">
        <f t="shared" si="74"/>
        <v>3.4642909281295462</v>
      </c>
      <c r="AO87" s="124">
        <f t="shared" si="74"/>
        <v>3.0835134930488954</v>
      </c>
      <c r="AP87" s="97">
        <f t="shared" si="75"/>
        <v>2404.2164552549207</v>
      </c>
      <c r="AQ87" s="97">
        <f t="shared" si="75"/>
        <v>4799.1651484853101</v>
      </c>
      <c r="AR87" s="97">
        <f t="shared" si="75"/>
        <v>3613.7249915739289</v>
      </c>
      <c r="AT87" s="9">
        <f t="shared" si="76"/>
        <v>3573.1926740156127</v>
      </c>
      <c r="AU87" s="9">
        <f t="shared" si="77"/>
        <v>40.53231755831613</v>
      </c>
      <c r="AV87" s="13">
        <f t="shared" si="78"/>
        <v>3613.7249915739289</v>
      </c>
    </row>
    <row r="88" spans="1:48" x14ac:dyDescent="0.35">
      <c r="A88" s="131">
        <v>1000</v>
      </c>
      <c r="B88" s="7" t="s">
        <v>159</v>
      </c>
      <c r="C88" s="105">
        <v>0.85</v>
      </c>
      <c r="D88" s="105">
        <v>0.85358947257842865</v>
      </c>
      <c r="E88" s="105">
        <f t="shared" si="64"/>
        <v>0.85</v>
      </c>
      <c r="F88" s="105">
        <v>0.83125499999999997</v>
      </c>
      <c r="G88" s="105">
        <v>0.85358947257842865</v>
      </c>
      <c r="H88" s="105">
        <f t="shared" si="65"/>
        <v>0.85</v>
      </c>
      <c r="I88" s="97">
        <v>7281.7937999999995</v>
      </c>
      <c r="J88" s="97">
        <f t="shared" si="66"/>
        <v>7477.443779787036</v>
      </c>
      <c r="K88" s="97">
        <f t="shared" si="67"/>
        <v>7466.4</v>
      </c>
      <c r="L88" s="105">
        <v>0.06</v>
      </c>
      <c r="M88" s="105">
        <v>0.06</v>
      </c>
      <c r="N88" s="105">
        <f t="shared" si="68"/>
        <v>0.06</v>
      </c>
      <c r="O88" s="97">
        <f t="shared" si="69"/>
        <v>6844.8861719999995</v>
      </c>
      <c r="P88" s="97">
        <v>7028.7971529998131</v>
      </c>
      <c r="Q88" s="97">
        <f t="shared" si="70"/>
        <v>7018.4159999999993</v>
      </c>
      <c r="R88" s="97">
        <v>2375</v>
      </c>
      <c r="S88" s="97">
        <v>2375.0203666036296</v>
      </c>
      <c r="T88" s="97">
        <f t="shared" si="71"/>
        <v>2375</v>
      </c>
      <c r="U88" s="97">
        <v>0.5</v>
      </c>
      <c r="V88" s="97">
        <v>0.5</v>
      </c>
      <c r="W88" s="97">
        <f t="shared" si="79"/>
        <v>0.5</v>
      </c>
      <c r="X88" s="97">
        <v>10354.860804599088</v>
      </c>
      <c r="Y88" s="97">
        <v>9686.5030000000006</v>
      </c>
      <c r="Z88" s="132">
        <v>9557.3890338084038</v>
      </c>
      <c r="AA88" s="97">
        <v>3791.3746609646087</v>
      </c>
      <c r="AB88" s="97">
        <v>3635.8326241307236</v>
      </c>
      <c r="AC88" s="97">
        <v>3564.2955926529448</v>
      </c>
      <c r="AD88" s="97">
        <v>47404.473862148632</v>
      </c>
      <c r="AE88" s="97">
        <v>58006.29497333333</v>
      </c>
      <c r="AF88" s="132">
        <v>65020.460319369799</v>
      </c>
      <c r="AG88" s="97">
        <v>3831.6363715000375</v>
      </c>
      <c r="AH88" s="97">
        <v>5503.6822485397652</v>
      </c>
      <c r="AI88" s="97">
        <v>4819.190420893372</v>
      </c>
      <c r="AJ88" s="97">
        <f t="shared" si="73"/>
        <v>0.62505628736643126</v>
      </c>
      <c r="AK88" s="97">
        <f t="shared" si="73"/>
        <v>0.65189390165349148</v>
      </c>
      <c r="AL88" s="97">
        <f t="shared" si="73"/>
        <v>0.66499010642350054</v>
      </c>
      <c r="AM88" s="124">
        <v>2.6360000000000001</v>
      </c>
      <c r="AN88" s="124">
        <f t="shared" si="74"/>
        <v>3.8476808956896975</v>
      </c>
      <c r="AO88" s="124">
        <f t="shared" si="74"/>
        <v>3.443855511728386</v>
      </c>
      <c r="AP88" s="97">
        <f t="shared" si="75"/>
        <v>1804.3119949391998</v>
      </c>
      <c r="AQ88" s="97">
        <f t="shared" si="75"/>
        <v>2704.4568525275517</v>
      </c>
      <c r="AR88" s="97">
        <f t="shared" si="75"/>
        <v>2417.041062520269</v>
      </c>
      <c r="AT88" s="9">
        <f t="shared" si="76"/>
        <v>2392.7676242738416</v>
      </c>
      <c r="AU88" s="9">
        <f t="shared" si="77"/>
        <v>24.27343824642713</v>
      </c>
      <c r="AV88" s="13">
        <f t="shared" si="78"/>
        <v>2417.041062520269</v>
      </c>
    </row>
    <row r="89" spans="1:48" x14ac:dyDescent="0.35">
      <c r="A89" s="131">
        <v>250</v>
      </c>
      <c r="B89" s="7" t="s">
        <v>160</v>
      </c>
      <c r="C89" s="105">
        <v>0.85</v>
      </c>
      <c r="D89" s="105">
        <v>0.85270749216937247</v>
      </c>
      <c r="E89" s="105">
        <f t="shared" si="64"/>
        <v>0.85</v>
      </c>
      <c r="F89" s="105">
        <v>0.73714333333333326</v>
      </c>
      <c r="G89" s="105">
        <v>0.85270749216937247</v>
      </c>
      <c r="H89" s="105">
        <f t="shared" si="65"/>
        <v>0.85</v>
      </c>
      <c r="I89" s="97">
        <v>1614.3438999999998</v>
      </c>
      <c r="J89" s="97">
        <f t="shared" si="66"/>
        <v>1867.4294078509256</v>
      </c>
      <c r="K89" s="97">
        <f t="shared" si="67"/>
        <v>1866.6</v>
      </c>
      <c r="L89" s="105">
        <v>8.5000000000000006E-2</v>
      </c>
      <c r="M89" s="105">
        <v>8.5000000000000006E-2</v>
      </c>
      <c r="N89" s="105">
        <f t="shared" si="68"/>
        <v>8.5000000000000006E-2</v>
      </c>
      <c r="O89" s="97">
        <f t="shared" si="69"/>
        <v>1477.1246684999999</v>
      </c>
      <c r="P89" s="97">
        <v>1708.6979081835971</v>
      </c>
      <c r="Q89" s="97">
        <f t="shared" si="70"/>
        <v>1707.9390000000001</v>
      </c>
      <c r="R89" s="97">
        <v>2430</v>
      </c>
      <c r="S89" s="97">
        <v>2430.0150229361848</v>
      </c>
      <c r="T89" s="97">
        <f t="shared" si="71"/>
        <v>2430</v>
      </c>
      <c r="U89" s="97">
        <v>0.5</v>
      </c>
      <c r="V89" s="97">
        <v>0.5</v>
      </c>
      <c r="W89" s="97">
        <f t="shared" si="79"/>
        <v>0.5</v>
      </c>
      <c r="X89" s="97">
        <v>10346</v>
      </c>
      <c r="Y89" s="97">
        <v>9462.7569999999996</v>
      </c>
      <c r="Z89" s="132">
        <v>9327.3796000000002</v>
      </c>
      <c r="AA89" s="97">
        <v>3272.0240247141805</v>
      </c>
      <c r="AB89" s="97">
        <v>3489.2496147919874</v>
      </c>
      <c r="AC89" s="97">
        <v>3044.1845791252013</v>
      </c>
      <c r="AD89" s="97">
        <v>44055.388079696677</v>
      </c>
      <c r="AE89" s="97">
        <v>52646.370707888564</v>
      </c>
      <c r="AF89" s="132">
        <v>63083.938106601287</v>
      </c>
      <c r="AG89" s="97">
        <v>4983.0245747653298</v>
      </c>
      <c r="AH89" s="97">
        <v>6047.9859369682417</v>
      </c>
      <c r="AI89" s="97">
        <v>5721.4280958717718</v>
      </c>
      <c r="AJ89" s="97">
        <f t="shared" si="73"/>
        <v>0.74107860507283863</v>
      </c>
      <c r="AK89" s="97">
        <f t="shared" si="73"/>
        <v>0.69507312808882227</v>
      </c>
      <c r="AL89" s="97">
        <f t="shared" si="73"/>
        <v>0.79671131863395805</v>
      </c>
      <c r="AM89" s="124">
        <v>4.1740000000000004</v>
      </c>
      <c r="AN89" s="124">
        <f t="shared" si="74"/>
        <v>4.6230772559559199</v>
      </c>
      <c r="AO89" s="124">
        <f t="shared" si="74"/>
        <v>5.016249717797459</v>
      </c>
      <c r="AP89" s="97">
        <f t="shared" si="75"/>
        <v>616.55183663189996</v>
      </c>
      <c r="AQ89" s="97">
        <f t="shared" si="75"/>
        <v>789.94424366230442</v>
      </c>
      <c r="AR89" s="97">
        <f t="shared" si="75"/>
        <v>856.74485267652744</v>
      </c>
      <c r="AT89" s="9">
        <f t="shared" si="76"/>
        <v>850.85722873303837</v>
      </c>
      <c r="AU89" s="9">
        <f t="shared" si="77"/>
        <v>5.887623943489098</v>
      </c>
      <c r="AV89" s="13">
        <f t="shared" si="78"/>
        <v>856.74485267652744</v>
      </c>
    </row>
    <row r="90" spans="1:48" x14ac:dyDescent="0.35">
      <c r="B90" s="12" t="s">
        <v>27</v>
      </c>
      <c r="C90" s="7"/>
      <c r="D90" s="7"/>
      <c r="E90" s="7"/>
      <c r="F90" s="7"/>
      <c r="G90" s="7"/>
      <c r="H90" s="7"/>
      <c r="I90" s="98">
        <f>SUM(I77:I89)</f>
        <v>63580.13541092143</v>
      </c>
      <c r="J90" s="98">
        <f>SUM(J77:J89)</f>
        <v>72296.985869427692</v>
      </c>
      <c r="K90" s="98">
        <f>SUM(K77:K89)</f>
        <v>66850.381456158197</v>
      </c>
      <c r="L90" s="126">
        <f>SUMPRODUCT(I77:I89,L77:L89)/I90</f>
        <v>7.4268219205816874E-2</v>
      </c>
      <c r="M90" s="126">
        <f>SUMPRODUCT(J77:J89,M77:M89)/J90</f>
        <v>7.4762959837977483E-2</v>
      </c>
      <c r="N90" s="126">
        <f>SUMPRODUCT(K77:K89,N77:N89)/K90</f>
        <v>7.4705676718611516E-2</v>
      </c>
      <c r="O90" s="98">
        <f>SUM(O77:O89)</f>
        <v>58858.151977087604</v>
      </c>
      <c r="P90" s="98">
        <f>SUM(P77:P89)</f>
        <v>66891.849218464835</v>
      </c>
      <c r="Q90" s="98">
        <f>SUM(Q77:Q89)</f>
        <v>61856.278470578567</v>
      </c>
      <c r="R90" s="98">
        <f>SUMPRODUCT(I77:I89,R77:R89)/I90</f>
        <v>2458.2052775285692</v>
      </c>
      <c r="S90" s="98">
        <f>SUMPRODUCT(J77:J89,S77:S89)/J90</f>
        <v>2467.2687021530637</v>
      </c>
      <c r="T90" s="98">
        <f>SUMPRODUCT(K77:K89,T77:T89)/K90</f>
        <v>2452.4717940231803</v>
      </c>
      <c r="U90" s="98">
        <f>SUMPRODUCT(I77:I89,U77:U89)/I90</f>
        <v>0.72087380193959816</v>
      </c>
      <c r="V90" s="98">
        <f>SUMPRODUCT(J77:J89,V77:V89)/J90</f>
        <v>0.74812761407058515</v>
      </c>
      <c r="W90" s="98">
        <f>SUMPRODUCT(K77:K89,W77:W89)/K90</f>
        <v>0.7253502219575787</v>
      </c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8">
        <f>SUM(AP77:AP89)</f>
        <v>17935.616362522273</v>
      </c>
      <c r="AQ90" s="98">
        <f>SUM(AQ77:AQ89)</f>
        <v>26879.454513351051</v>
      </c>
      <c r="AR90" s="98">
        <f>SUM(AR77:AR89)</f>
        <v>24487.355391494268</v>
      </c>
      <c r="AT90" s="98">
        <f t="shared" ref="AT90:AV90" si="80">SUM(AT77:AT89)</f>
        <v>24171.77362984655</v>
      </c>
      <c r="AU90" s="98">
        <f t="shared" si="80"/>
        <v>315.58176164771612</v>
      </c>
      <c r="AV90" s="98">
        <f t="shared" si="80"/>
        <v>24487.355391494268</v>
      </c>
    </row>
    <row r="92" spans="1:48" x14ac:dyDescent="0.35">
      <c r="B92" s="3" t="s">
        <v>296</v>
      </c>
    </row>
    <row r="93" spans="1:48" x14ac:dyDescent="0.35">
      <c r="B93" s="187" t="s">
        <v>170</v>
      </c>
      <c r="C93" s="187" t="s">
        <v>273</v>
      </c>
      <c r="D93" s="187"/>
      <c r="E93" s="187"/>
      <c r="F93" s="187" t="s">
        <v>274</v>
      </c>
      <c r="G93" s="187"/>
      <c r="H93" s="187"/>
      <c r="I93" s="187" t="s">
        <v>275</v>
      </c>
      <c r="J93" s="187"/>
      <c r="K93" s="187"/>
      <c r="L93" s="187" t="s">
        <v>276</v>
      </c>
      <c r="M93" s="187"/>
      <c r="N93" s="187"/>
      <c r="O93" s="187" t="s">
        <v>277</v>
      </c>
      <c r="P93" s="187"/>
      <c r="Q93" s="187"/>
      <c r="R93" s="187" t="s">
        <v>278</v>
      </c>
      <c r="S93" s="187"/>
      <c r="T93" s="187"/>
      <c r="U93" s="187" t="s">
        <v>279</v>
      </c>
      <c r="V93" s="187"/>
      <c r="W93" s="187"/>
      <c r="X93" s="187" t="s">
        <v>280</v>
      </c>
      <c r="Y93" s="187"/>
      <c r="Z93" s="187"/>
      <c r="AA93" s="187" t="s">
        <v>281</v>
      </c>
      <c r="AB93" s="187"/>
      <c r="AC93" s="187"/>
      <c r="AD93" s="187" t="s">
        <v>282</v>
      </c>
      <c r="AE93" s="187"/>
      <c r="AF93" s="187"/>
      <c r="AG93" s="187" t="s">
        <v>283</v>
      </c>
      <c r="AH93" s="187"/>
      <c r="AI93" s="187"/>
      <c r="AJ93" s="187" t="s">
        <v>284</v>
      </c>
      <c r="AK93" s="187"/>
      <c r="AL93" s="187"/>
      <c r="AM93" s="187" t="s">
        <v>285</v>
      </c>
      <c r="AN93" s="187"/>
      <c r="AO93" s="187"/>
      <c r="AP93" s="187" t="s">
        <v>286</v>
      </c>
      <c r="AQ93" s="187"/>
      <c r="AR93" s="187"/>
    </row>
    <row r="94" spans="1:48" ht="30" x14ac:dyDescent="0.35">
      <c r="B94" s="187"/>
      <c r="C94" s="96" t="s">
        <v>294</v>
      </c>
      <c r="D94" s="6" t="s">
        <v>295</v>
      </c>
      <c r="E94" s="6" t="s">
        <v>132</v>
      </c>
      <c r="F94" s="96" t="s">
        <v>172</v>
      </c>
      <c r="G94" s="6" t="s">
        <v>295</v>
      </c>
      <c r="H94" s="6" t="s">
        <v>132</v>
      </c>
      <c r="I94" s="96" t="s">
        <v>172</v>
      </c>
      <c r="J94" s="6" t="s">
        <v>295</v>
      </c>
      <c r="K94" s="6" t="s">
        <v>132</v>
      </c>
      <c r="L94" s="96" t="s">
        <v>172</v>
      </c>
      <c r="M94" s="6" t="s">
        <v>295</v>
      </c>
      <c r="N94" s="6" t="s">
        <v>132</v>
      </c>
      <c r="O94" s="96" t="s">
        <v>172</v>
      </c>
      <c r="P94" s="6" t="s">
        <v>295</v>
      </c>
      <c r="Q94" s="6" t="s">
        <v>132</v>
      </c>
      <c r="R94" s="96" t="s">
        <v>172</v>
      </c>
      <c r="S94" s="6" t="s">
        <v>295</v>
      </c>
      <c r="T94" s="6" t="s">
        <v>132</v>
      </c>
      <c r="U94" s="96" t="s">
        <v>172</v>
      </c>
      <c r="V94" s="6" t="s">
        <v>295</v>
      </c>
      <c r="W94" s="6" t="s">
        <v>132</v>
      </c>
      <c r="X94" s="96" t="s">
        <v>172</v>
      </c>
      <c r="Y94" s="6" t="s">
        <v>295</v>
      </c>
      <c r="Z94" s="6" t="s">
        <v>132</v>
      </c>
      <c r="AA94" s="96" t="s">
        <v>172</v>
      </c>
      <c r="AB94" s="6" t="s">
        <v>295</v>
      </c>
      <c r="AC94" s="6" t="s">
        <v>132</v>
      </c>
      <c r="AD94" s="96" t="s">
        <v>172</v>
      </c>
      <c r="AE94" s="6" t="s">
        <v>295</v>
      </c>
      <c r="AF94" s="6" t="s">
        <v>132</v>
      </c>
      <c r="AG94" s="96" t="s">
        <v>172</v>
      </c>
      <c r="AH94" s="6" t="s">
        <v>295</v>
      </c>
      <c r="AI94" s="6" t="s">
        <v>132</v>
      </c>
      <c r="AJ94" s="96" t="s">
        <v>172</v>
      </c>
      <c r="AK94" s="6" t="s">
        <v>295</v>
      </c>
      <c r="AL94" s="6" t="s">
        <v>132</v>
      </c>
      <c r="AM94" s="96" t="s">
        <v>172</v>
      </c>
      <c r="AN94" s="6" t="s">
        <v>295</v>
      </c>
      <c r="AO94" s="6" t="s">
        <v>132</v>
      </c>
      <c r="AP94" s="96" t="s">
        <v>172</v>
      </c>
      <c r="AQ94" s="6" t="s">
        <v>295</v>
      </c>
      <c r="AR94" s="6" t="s">
        <v>132</v>
      </c>
      <c r="AT94" s="12" t="s">
        <v>287</v>
      </c>
      <c r="AU94" s="12" t="s">
        <v>288</v>
      </c>
      <c r="AV94" s="7"/>
    </row>
    <row r="95" spans="1:48" x14ac:dyDescent="0.35">
      <c r="A95" s="131">
        <f>A77</f>
        <v>210</v>
      </c>
      <c r="B95" s="7" t="s">
        <v>43</v>
      </c>
      <c r="C95" s="105">
        <v>0.8</v>
      </c>
      <c r="D95" s="105">
        <f>D77</f>
        <v>0.80846903306069762</v>
      </c>
      <c r="E95" s="105">
        <f>E77</f>
        <v>0.79752843088717451</v>
      </c>
      <c r="F95" s="105">
        <v>0.70149500000000009</v>
      </c>
      <c r="G95" s="105">
        <f>G77</f>
        <v>0.80846903306069773</v>
      </c>
      <c r="H95" s="105">
        <f>E95</f>
        <v>0.79752843088717451</v>
      </c>
      <c r="I95" s="97">
        <v>1290.470202</v>
      </c>
      <c r="J95" s="97">
        <f>P95/(1-M95)</f>
        <v>1487.2596332184594</v>
      </c>
      <c r="K95" s="97">
        <f>A95*H95*24*365/1000</f>
        <v>1467.1333014600464</v>
      </c>
      <c r="L95" s="105">
        <v>0.1096</v>
      </c>
      <c r="M95" s="105">
        <f>M77</f>
        <v>0.1096</v>
      </c>
      <c r="N95" s="105">
        <f>L95</f>
        <v>0.1096</v>
      </c>
      <c r="O95" s="97">
        <f>I95*(1-L95)</f>
        <v>1149.0346678608</v>
      </c>
      <c r="P95" s="97">
        <v>1324.2559774177162</v>
      </c>
      <c r="Q95" s="97">
        <f>K95*(1-N95)</f>
        <v>1306.3354916200253</v>
      </c>
      <c r="R95" s="97">
        <v>2787</v>
      </c>
      <c r="S95" s="97">
        <f>S77</f>
        <v>2787.1431469648751</v>
      </c>
      <c r="T95" s="97">
        <f>R95</f>
        <v>2787</v>
      </c>
      <c r="U95" s="97">
        <v>1.4</v>
      </c>
      <c r="V95" s="97">
        <f>V77</f>
        <v>1.4</v>
      </c>
      <c r="W95" s="97">
        <f>U95</f>
        <v>1.4</v>
      </c>
      <c r="X95" s="97">
        <v>9830.5431413381302</v>
      </c>
      <c r="Y95" s="97">
        <v>9760.7608</v>
      </c>
      <c r="Z95" s="97">
        <f>Z77</f>
        <v>9836.3163999999997</v>
      </c>
      <c r="AA95" s="97">
        <v>3939.9276719705058</v>
      </c>
      <c r="AB95" s="97">
        <v>3983.4688505495365</v>
      </c>
      <c r="AC95" s="97">
        <v>4031.7646412388094</v>
      </c>
      <c r="AD95" s="97">
        <v>42027.20275994089</v>
      </c>
      <c r="AE95" s="97">
        <v>42004.713578901887</v>
      </c>
      <c r="AF95" s="132">
        <v>63644.821997614366</v>
      </c>
      <c r="AG95" s="97">
        <v>5105.0592003479451</v>
      </c>
      <c r="AH95" s="97">
        <v>5966.0922715748584</v>
      </c>
      <c r="AI95" s="97">
        <v>5645.483178293628</v>
      </c>
      <c r="AJ95" s="97">
        <f>(R95-U95*X95/1000)/AA95</f>
        <v>0.70388024108450864</v>
      </c>
      <c r="AK95" s="97">
        <f>(S95-V95*Y95/1000)/AB95</f>
        <v>0.6962469611033264</v>
      </c>
      <c r="AL95" s="97">
        <f>(T95-W95*Z95/1000)/AC95</f>
        <v>0.68784500183222275</v>
      </c>
      <c r="AM95" s="124">
        <v>4.298</v>
      </c>
      <c r="AN95" s="124">
        <f>(AK95*AH95/1000+V95*AE95/10^6)/(1-M95)</f>
        <v>4.7312221616762109</v>
      </c>
      <c r="AO95" s="124">
        <f>(AL95*AI95/1000+W95*AF95/10^6)/(1-N95)</f>
        <v>4.46127598597689</v>
      </c>
      <c r="AP95" s="97">
        <f>O95*AM95/10</f>
        <v>493.85510024657185</v>
      </c>
      <c r="AQ95" s="97">
        <f>P95*AN95/10</f>
        <v>626.53492280908904</v>
      </c>
      <c r="AR95" s="97">
        <f>Q95*AO95/10</f>
        <v>582.79231583937337</v>
      </c>
      <c r="AT95" s="9">
        <f>AL95*K95*AI95/10000</f>
        <v>569.71975454482583</v>
      </c>
      <c r="AU95" s="9">
        <f>W95*K95*AF95/10^7</f>
        <v>13.072561294547572</v>
      </c>
      <c r="AV95" s="13">
        <f>SUM(AT95:AU95)</f>
        <v>582.79231583937337</v>
      </c>
    </row>
    <row r="96" spans="1:48" x14ac:dyDescent="0.35">
      <c r="A96" s="131">
        <f t="shared" ref="A96:A107" si="81">A78</f>
        <v>1920</v>
      </c>
      <c r="B96" s="7" t="s">
        <v>150</v>
      </c>
      <c r="C96" s="105">
        <v>0.8</v>
      </c>
      <c r="D96" s="105">
        <f t="shared" ref="D96:E107" si="82">D78</f>
        <v>0.84895165384307625</v>
      </c>
      <c r="E96" s="105">
        <f t="shared" si="82"/>
        <v>0.6793970788457222</v>
      </c>
      <c r="F96" s="105">
        <v>0.67538500000000001</v>
      </c>
      <c r="G96" s="105">
        <f t="shared" ref="G96:G107" si="83">G78</f>
        <v>0.84895165384307625</v>
      </c>
      <c r="H96" s="105">
        <f t="shared" ref="H96:H107" si="84">E96</f>
        <v>0.6793970788457222</v>
      </c>
      <c r="I96" s="97">
        <v>11359.435391999999</v>
      </c>
      <c r="J96" s="97">
        <f t="shared" ref="J96:J107" si="85">P96/(1-M96)</f>
        <v>14278.687656317468</v>
      </c>
      <c r="K96" s="97">
        <f t="shared" ref="K96:K107" si="86">A96*H96*24*365/1000</f>
        <v>11426.91534852197</v>
      </c>
      <c r="L96" s="105">
        <v>7.8E-2</v>
      </c>
      <c r="M96" s="105">
        <f t="shared" ref="M96:M107" si="87">M78</f>
        <v>7.8E-2</v>
      </c>
      <c r="N96" s="105">
        <f t="shared" ref="N96:N107" si="88">L96</f>
        <v>7.8E-2</v>
      </c>
      <c r="O96" s="97">
        <f t="shared" ref="O96:O107" si="89">I96*(1-L96)</f>
        <v>10473.399431424001</v>
      </c>
      <c r="P96" s="97">
        <v>13164.950019124706</v>
      </c>
      <c r="Q96" s="97">
        <f t="shared" ref="Q96:Q107" si="90">K96*(1-N96)</f>
        <v>10535.615951337257</v>
      </c>
      <c r="R96" s="97">
        <v>2688</v>
      </c>
      <c r="S96" s="97">
        <f t="shared" ref="S96:S107" si="91">S78</f>
        <v>2688.5585363308501</v>
      </c>
      <c r="T96" s="97">
        <f t="shared" ref="T96:T107" si="92">R96</f>
        <v>2688</v>
      </c>
      <c r="U96" s="97">
        <v>1</v>
      </c>
      <c r="V96" s="97">
        <f t="shared" ref="V96:V107" si="93">V78</f>
        <v>1</v>
      </c>
      <c r="W96" s="97">
        <f t="shared" ref="W96:W99" si="94">U96</f>
        <v>1</v>
      </c>
      <c r="X96" s="97">
        <v>10333.74673749099</v>
      </c>
      <c r="Y96" s="97">
        <v>9686.5029999999988</v>
      </c>
      <c r="Z96" s="97">
        <f t="shared" ref="Z96:Z107" si="95">Z78</f>
        <v>9592.4183295337425</v>
      </c>
      <c r="AA96" s="97">
        <v>3674.1599251529533</v>
      </c>
      <c r="AB96" s="97">
        <v>3427.4889816465311</v>
      </c>
      <c r="AC96" s="97">
        <v>3325.5657414573502</v>
      </c>
      <c r="AD96" s="97">
        <v>47115.320513112936</v>
      </c>
      <c r="AE96" s="97">
        <v>60906.609742928878</v>
      </c>
      <c r="AF96" s="132">
        <v>66163.538020165463</v>
      </c>
      <c r="AG96" s="97">
        <v>3298.1802841086305</v>
      </c>
      <c r="AH96" s="97">
        <v>4718.5490617077267</v>
      </c>
      <c r="AI96" s="97">
        <v>4607.5820126702019</v>
      </c>
      <c r="AJ96" s="97">
        <f t="shared" ref="AJ96:AL107" si="96">(R96-U96*X96/1000)/AA96</f>
        <v>0.72878326142840377</v>
      </c>
      <c r="AK96" s="97">
        <f t="shared" si="96"/>
        <v>0.78158443329085392</v>
      </c>
      <c r="AL96" s="97">
        <f t="shared" si="96"/>
        <v>0.80539907790146936</v>
      </c>
      <c r="AM96" s="124">
        <v>2.7829999999999999</v>
      </c>
      <c r="AN96" s="124">
        <f t="shared" ref="AN96:AO107" si="97">(AK96*AH96/1000+V96*AE96/10^6)/(1-M96)</f>
        <v>4.0659990283002738</v>
      </c>
      <c r="AO96" s="124">
        <f t="shared" si="97"/>
        <v>4.096644080672605</v>
      </c>
      <c r="AP96" s="97">
        <f t="shared" ref="AP96:AR107" si="98">O96*AM96/10</f>
        <v>2914.7470617652993</v>
      </c>
      <c r="AQ96" s="97">
        <f t="shared" si="98"/>
        <v>5352.867398538272</v>
      </c>
      <c r="AR96" s="97">
        <f t="shared" si="98"/>
        <v>4316.0668723285653</v>
      </c>
      <c r="AT96" s="9">
        <f t="shared" ref="AT96:AT107" si="99">AL96*K96*AI96/10000</f>
        <v>4240.4623575170508</v>
      </c>
      <c r="AU96" s="9">
        <f t="shared" ref="AU96:AU107" si="100">W96*K96*AF96/10^7</f>
        <v>75.604514811514562</v>
      </c>
      <c r="AV96" s="13">
        <f t="shared" ref="AV96:AV107" si="101">SUM(AT96:AU96)</f>
        <v>4316.0668723285653</v>
      </c>
    </row>
    <row r="97" spans="1:48" x14ac:dyDescent="0.35">
      <c r="A97" s="131">
        <f t="shared" si="81"/>
        <v>840</v>
      </c>
      <c r="B97" s="7" t="s">
        <v>151</v>
      </c>
      <c r="C97" s="105">
        <v>0.85</v>
      </c>
      <c r="D97" s="105">
        <f t="shared" si="82"/>
        <v>0.85407730202560694</v>
      </c>
      <c r="E97" s="105">
        <f t="shared" si="82"/>
        <v>0.74632241261148435</v>
      </c>
      <c r="F97" s="105">
        <v>0.67230048889184746</v>
      </c>
      <c r="G97" s="105">
        <f t="shared" si="83"/>
        <v>0.85407730202560694</v>
      </c>
      <c r="H97" s="105">
        <f t="shared" si="84"/>
        <v>0.74632241261148435</v>
      </c>
      <c r="I97" s="97">
        <v>4947.0559174617702</v>
      </c>
      <c r="J97" s="97">
        <f t="shared" si="85"/>
        <v>6284.6424192252261</v>
      </c>
      <c r="K97" s="97">
        <f t="shared" si="86"/>
        <v>5491.7388409603464</v>
      </c>
      <c r="L97" s="105">
        <v>9.7000000000000003E-2</v>
      </c>
      <c r="M97" s="105">
        <f t="shared" si="87"/>
        <v>9.7000000000000003E-2</v>
      </c>
      <c r="N97" s="105">
        <f t="shared" si="88"/>
        <v>9.7000000000000003E-2</v>
      </c>
      <c r="O97" s="97">
        <f t="shared" si="89"/>
        <v>4467.1914934679789</v>
      </c>
      <c r="P97" s="97">
        <v>5675.0321045603796</v>
      </c>
      <c r="Q97" s="97">
        <f t="shared" si="90"/>
        <v>4959.0401733871931</v>
      </c>
      <c r="R97" s="97">
        <v>2630</v>
      </c>
      <c r="S97" s="97">
        <f t="shared" si="91"/>
        <v>2630.055709996931</v>
      </c>
      <c r="T97" s="97">
        <f t="shared" si="92"/>
        <v>2630</v>
      </c>
      <c r="U97" s="97">
        <v>1.2</v>
      </c>
      <c r="V97" s="97">
        <f t="shared" si="93"/>
        <v>1.2</v>
      </c>
      <c r="W97" s="97">
        <f t="shared" si="94"/>
        <v>1.2</v>
      </c>
      <c r="X97" s="97">
        <v>10475.928630431306</v>
      </c>
      <c r="Y97" s="97">
        <v>9724.6994000000013</v>
      </c>
      <c r="Z97" s="97">
        <f t="shared" si="95"/>
        <v>9490.9850322402399</v>
      </c>
      <c r="AA97" s="97">
        <v>3535.2628484992692</v>
      </c>
      <c r="AB97" s="97">
        <v>3601.107355115565</v>
      </c>
      <c r="AC97" s="97">
        <v>3423.442558217379</v>
      </c>
      <c r="AD97" s="97">
        <v>48249.087957226446</v>
      </c>
      <c r="AE97" s="97">
        <v>73357.849958584717</v>
      </c>
      <c r="AF97" s="132">
        <v>68093.138914271898</v>
      </c>
      <c r="AG97" s="97">
        <v>3513.8577399821556</v>
      </c>
      <c r="AH97" s="97">
        <v>5011.5203959047176</v>
      </c>
      <c r="AI97" s="97">
        <v>4872.1160420165033</v>
      </c>
      <c r="AJ97" s="97">
        <f t="shared" si="96"/>
        <v>0.74037744796107297</v>
      </c>
      <c r="AK97" s="97">
        <f t="shared" si="96"/>
        <v>0.72710580732823027</v>
      </c>
      <c r="AL97" s="97">
        <f t="shared" si="96"/>
        <v>0.76490572674449919</v>
      </c>
      <c r="AM97" s="124">
        <v>3.0870000000000002</v>
      </c>
      <c r="AN97" s="124">
        <f t="shared" si="97"/>
        <v>4.1328183868842672</v>
      </c>
      <c r="AO97" s="124">
        <f t="shared" si="97"/>
        <v>4.2175207404200359</v>
      </c>
      <c r="AP97" s="97">
        <f t="shared" si="98"/>
        <v>1379.0220140335653</v>
      </c>
      <c r="AQ97" s="97">
        <f t="shared" si="98"/>
        <v>2345.3877027885655</v>
      </c>
      <c r="AR97" s="97">
        <f t="shared" si="98"/>
        <v>2091.4854783836658</v>
      </c>
      <c r="AT97" s="9">
        <f t="shared" si="99"/>
        <v>2046.6115100902562</v>
      </c>
      <c r="AU97" s="9">
        <f t="shared" si="100"/>
        <v>44.873968293409845</v>
      </c>
      <c r="AV97" s="13">
        <f t="shared" si="101"/>
        <v>2091.4854783836658</v>
      </c>
    </row>
    <row r="98" spans="1:48" x14ac:dyDescent="0.35">
      <c r="A98" s="131">
        <f t="shared" si="81"/>
        <v>210</v>
      </c>
      <c r="B98" s="7" t="s">
        <v>44</v>
      </c>
      <c r="C98" s="105">
        <v>0.72</v>
      </c>
      <c r="D98" s="105">
        <f t="shared" si="82"/>
        <v>0.85408538841000359</v>
      </c>
      <c r="E98" s="105">
        <f t="shared" si="82"/>
        <v>0.72</v>
      </c>
      <c r="F98" s="105">
        <v>0.35617997230969733</v>
      </c>
      <c r="G98" s="105">
        <f t="shared" si="83"/>
        <v>0.85408538841000359</v>
      </c>
      <c r="H98" s="105">
        <f t="shared" si="84"/>
        <v>0.72</v>
      </c>
      <c r="I98" s="97">
        <v>1310.4573541218385</v>
      </c>
      <c r="J98" s="97">
        <f t="shared" si="85"/>
        <v>1571.1754805190426</v>
      </c>
      <c r="K98" s="97">
        <f t="shared" si="86"/>
        <v>1324.5119999999999</v>
      </c>
      <c r="L98" s="105">
        <v>0.1081</v>
      </c>
      <c r="M98" s="105">
        <f t="shared" si="87"/>
        <v>0.09</v>
      </c>
      <c r="N98" s="105">
        <f t="shared" si="88"/>
        <v>0.1081</v>
      </c>
      <c r="O98" s="97">
        <f t="shared" si="89"/>
        <v>1168.7969141412677</v>
      </c>
      <c r="P98" s="97">
        <v>1429.7696872723288</v>
      </c>
      <c r="Q98" s="97">
        <f t="shared" si="90"/>
        <v>1181.3322527999999</v>
      </c>
      <c r="R98" s="97">
        <v>2622</v>
      </c>
      <c r="S98" s="97">
        <f t="shared" si="91"/>
        <v>2354.0445185172994</v>
      </c>
      <c r="T98" s="97">
        <f>R98*0+2350</f>
        <v>2350</v>
      </c>
      <c r="U98" s="97">
        <v>2.81</v>
      </c>
      <c r="V98" s="97">
        <f t="shared" si="93"/>
        <v>2.81</v>
      </c>
      <c r="W98" s="97">
        <f t="shared" si="94"/>
        <v>2.81</v>
      </c>
      <c r="X98" s="97">
        <v>10328.102863339926</v>
      </c>
      <c r="Y98" s="97">
        <v>9168.1211999999996</v>
      </c>
      <c r="Z98" s="97">
        <f t="shared" si="95"/>
        <v>9400.9202402932915</v>
      </c>
      <c r="AA98" s="97">
        <v>3720.3151246563252</v>
      </c>
      <c r="AB98" s="97">
        <v>3846.6243365121863</v>
      </c>
      <c r="AC98" s="97">
        <v>3730.8854428316977</v>
      </c>
      <c r="AD98" s="97">
        <v>49431.485095439122</v>
      </c>
      <c r="AE98" s="97">
        <v>56584.939733314444</v>
      </c>
      <c r="AF98" s="132">
        <v>66006.485478993563</v>
      </c>
      <c r="AG98" s="97">
        <v>4037.2505462622839</v>
      </c>
      <c r="AH98" s="97">
        <v>5457.3819448833337</v>
      </c>
      <c r="AI98" s="97">
        <v>4525.9375487839197</v>
      </c>
      <c r="AJ98" s="97">
        <f t="shared" si="96"/>
        <v>0.69697806343583557</v>
      </c>
      <c r="AK98" s="97">
        <f t="shared" si="96"/>
        <v>0.6052793031659548</v>
      </c>
      <c r="AL98" s="97">
        <f t="shared" si="96"/>
        <v>0.62279677297226366</v>
      </c>
      <c r="AM98" s="124">
        <v>3.4889999999999999</v>
      </c>
      <c r="AN98" s="124">
        <f t="shared" si="97"/>
        <v>3.8046637597363304</v>
      </c>
      <c r="AO98" s="124">
        <f t="shared" si="97"/>
        <v>3.3683344817273166</v>
      </c>
      <c r="AP98" s="97">
        <f t="shared" si="98"/>
        <v>407.79324334388832</v>
      </c>
      <c r="AQ98" s="97">
        <f t="shared" si="98"/>
        <v>543.97929139345763</v>
      </c>
      <c r="AR98" s="97">
        <f t="shared" si="98"/>
        <v>397.9122161482851</v>
      </c>
      <c r="AT98" s="9">
        <f t="shared" si="99"/>
        <v>373.34540277965971</v>
      </c>
      <c r="AU98" s="9">
        <f t="shared" si="100"/>
        <v>24.566813368625514</v>
      </c>
      <c r="AV98" s="13">
        <f t="shared" si="101"/>
        <v>397.91221614828521</v>
      </c>
    </row>
    <row r="99" spans="1:48" x14ac:dyDescent="0.35">
      <c r="A99" s="131">
        <f t="shared" si="81"/>
        <v>630</v>
      </c>
      <c r="B99" s="7" t="s">
        <v>152</v>
      </c>
      <c r="C99" s="105">
        <v>0.8</v>
      </c>
      <c r="D99" s="105">
        <f t="shared" si="82"/>
        <v>0.80188992417333693</v>
      </c>
      <c r="E99" s="105">
        <f t="shared" si="82"/>
        <v>0.8</v>
      </c>
      <c r="F99" s="105">
        <v>0.8</v>
      </c>
      <c r="G99" s="105">
        <f t="shared" si="83"/>
        <v>0.80188992417333693</v>
      </c>
      <c r="H99" s="105">
        <f t="shared" si="84"/>
        <v>0.8</v>
      </c>
      <c r="I99" s="97">
        <v>4415.04</v>
      </c>
      <c r="J99" s="97">
        <f t="shared" si="85"/>
        <v>4425.4701135278119</v>
      </c>
      <c r="K99" s="97">
        <f t="shared" si="86"/>
        <v>4415.04</v>
      </c>
      <c r="L99" s="105">
        <v>0.1075</v>
      </c>
      <c r="M99" s="105">
        <f t="shared" si="87"/>
        <v>0.1075</v>
      </c>
      <c r="N99" s="105">
        <f t="shared" si="88"/>
        <v>0.1075</v>
      </c>
      <c r="O99" s="97">
        <f t="shared" si="89"/>
        <v>3940.4231999999997</v>
      </c>
      <c r="P99" s="97">
        <v>3949.7320763235721</v>
      </c>
      <c r="Q99" s="97">
        <f t="shared" si="90"/>
        <v>3940.4231999999997</v>
      </c>
      <c r="R99" s="97">
        <v>2754</v>
      </c>
      <c r="S99" s="97">
        <f t="shared" si="91"/>
        <v>2754.0225877619469</v>
      </c>
      <c r="T99" s="97">
        <f t="shared" si="92"/>
        <v>2754</v>
      </c>
      <c r="U99" s="97">
        <v>1</v>
      </c>
      <c r="V99" s="97">
        <f t="shared" si="93"/>
        <v>1</v>
      </c>
      <c r="W99" s="97">
        <f t="shared" si="94"/>
        <v>1</v>
      </c>
      <c r="X99" s="97">
        <v>10446.381585279727</v>
      </c>
      <c r="Y99" s="97">
        <v>9583.9288000000015</v>
      </c>
      <c r="Z99" s="97">
        <f t="shared" si="95"/>
        <v>9864.5516000000025</v>
      </c>
      <c r="AA99" s="97">
        <v>3963.7406405681891</v>
      </c>
      <c r="AB99" s="97">
        <v>3421.2482432806878</v>
      </c>
      <c r="AC99" s="97">
        <v>3599.9900600309411</v>
      </c>
      <c r="AD99" s="97">
        <v>45491.248007185437</v>
      </c>
      <c r="AE99" s="97">
        <v>70693.152070064258</v>
      </c>
      <c r="AF99" s="132">
        <v>67987.072157443996</v>
      </c>
      <c r="AG99" s="97">
        <v>4536.020314220139</v>
      </c>
      <c r="AH99" s="97">
        <v>5831.5085352907772</v>
      </c>
      <c r="AI99" s="97">
        <v>5344.8428873154999</v>
      </c>
      <c r="AJ99" s="97">
        <f t="shared" si="96"/>
        <v>0.69216274907972819</v>
      </c>
      <c r="AK99" s="97">
        <f t="shared" si="96"/>
        <v>0.80217466369241364</v>
      </c>
      <c r="AL99" s="97">
        <f t="shared" si="96"/>
        <v>0.76226195146117004</v>
      </c>
      <c r="AM99" s="124">
        <v>3.7530000000000001</v>
      </c>
      <c r="AN99" s="124">
        <f t="shared" si="97"/>
        <v>5.3205395520295617</v>
      </c>
      <c r="AO99" s="124">
        <f t="shared" si="97"/>
        <v>4.6410727638049432</v>
      </c>
      <c r="AP99" s="97">
        <f t="shared" si="98"/>
        <v>1478.84082696</v>
      </c>
      <c r="AQ99" s="97">
        <f t="shared" si="98"/>
        <v>2101.4705731999411</v>
      </c>
      <c r="AR99" s="97">
        <f t="shared" si="98"/>
        <v>1828.7790791385116</v>
      </c>
      <c r="AT99" s="9">
        <f t="shared" si="99"/>
        <v>1798.7625148327115</v>
      </c>
      <c r="AU99" s="9">
        <f t="shared" si="100"/>
        <v>30.016564305800152</v>
      </c>
      <c r="AV99" s="13">
        <f t="shared" si="101"/>
        <v>1828.7790791385116</v>
      </c>
    </row>
    <row r="100" spans="1:48" x14ac:dyDescent="0.35">
      <c r="A100" s="131">
        <f t="shared" si="81"/>
        <v>672</v>
      </c>
      <c r="B100" s="7" t="s">
        <v>154</v>
      </c>
      <c r="C100" s="105">
        <v>0.85</v>
      </c>
      <c r="D100" s="105">
        <f t="shared" si="82"/>
        <v>0.35333632351406941</v>
      </c>
      <c r="E100" s="105">
        <f t="shared" si="82"/>
        <v>0.38107800936059361</v>
      </c>
      <c r="F100" s="105">
        <v>0.50811666666666666</v>
      </c>
      <c r="G100" s="105">
        <f t="shared" si="83"/>
        <v>0.26513882093933461</v>
      </c>
      <c r="H100" s="105">
        <f t="shared" si="84"/>
        <v>0.38107800936059361</v>
      </c>
      <c r="I100" s="97">
        <v>2991.1405440000003</v>
      </c>
      <c r="J100" s="97">
        <f t="shared" si="85"/>
        <v>1560.7979999999998</v>
      </c>
      <c r="K100" s="97">
        <f t="shared" si="86"/>
        <v>2243.2995392631933</v>
      </c>
      <c r="L100" s="105">
        <v>3.1E-2</v>
      </c>
      <c r="M100" s="105">
        <f t="shared" si="87"/>
        <v>3.1E-2</v>
      </c>
      <c r="N100" s="105">
        <f t="shared" si="88"/>
        <v>3.1E-2</v>
      </c>
      <c r="O100" s="97">
        <f t="shared" si="89"/>
        <v>2898.4151871360004</v>
      </c>
      <c r="P100" s="97">
        <v>1512.4132619999998</v>
      </c>
      <c r="Q100" s="97">
        <f t="shared" si="90"/>
        <v>2173.7572535460345</v>
      </c>
      <c r="R100" s="97">
        <v>2035</v>
      </c>
      <c r="S100" s="97">
        <f t="shared" si="91"/>
        <v>2348.4802947018125</v>
      </c>
      <c r="T100" s="97">
        <f t="shared" si="92"/>
        <v>2035</v>
      </c>
      <c r="U100" s="97"/>
      <c r="V100" s="97"/>
      <c r="W100" s="97"/>
      <c r="X100" s="97"/>
      <c r="Y100" s="97"/>
      <c r="Z100" s="97"/>
      <c r="AA100" s="97">
        <v>8365.74</v>
      </c>
      <c r="AB100" s="97">
        <f>AB82</f>
        <v>8345</v>
      </c>
      <c r="AC100" s="97">
        <v>8815.1658819976183</v>
      </c>
      <c r="AD100" s="97"/>
      <c r="AE100" s="97"/>
      <c r="AF100" s="132"/>
      <c r="AG100" s="97">
        <v>11339.142950328733</v>
      </c>
      <c r="AH100" s="97">
        <v>30936.15</v>
      </c>
      <c r="AI100" s="97">
        <v>28374.690266815163</v>
      </c>
      <c r="AJ100" s="97">
        <f t="shared" si="96"/>
        <v>0.2432540337136942</v>
      </c>
      <c r="AK100" s="97">
        <f t="shared" si="96"/>
        <v>0.2814236422650464</v>
      </c>
      <c r="AL100" s="97">
        <f t="shared" si="96"/>
        <v>0.23085215040092308</v>
      </c>
      <c r="AM100" s="124">
        <v>3.02</v>
      </c>
      <c r="AN100" s="124">
        <f t="shared" si="97"/>
        <v>8.9846893814838129</v>
      </c>
      <c r="AO100" s="124">
        <f t="shared" si="97"/>
        <v>6.7599156502109619</v>
      </c>
      <c r="AP100" s="97">
        <f t="shared" si="98"/>
        <v>875.32138651507216</v>
      </c>
      <c r="AQ100" s="97">
        <f t="shared" si="98"/>
        <v>1358.8563375506694</v>
      </c>
      <c r="AR100" s="97">
        <f t="shared" si="98"/>
        <v>1469.4415678005437</v>
      </c>
      <c r="AT100" s="9">
        <f t="shared" si="99"/>
        <v>1469.4415678005437</v>
      </c>
      <c r="AU100" s="9">
        <f t="shared" si="100"/>
        <v>0</v>
      </c>
      <c r="AV100" s="13">
        <f t="shared" si="101"/>
        <v>1469.4415678005437</v>
      </c>
    </row>
    <row r="101" spans="1:48" x14ac:dyDescent="0.35">
      <c r="A101" s="131">
        <f t="shared" si="81"/>
        <v>500</v>
      </c>
      <c r="B101" s="7" t="s">
        <v>155</v>
      </c>
      <c r="C101" s="105">
        <v>0.85</v>
      </c>
      <c r="D101" s="105">
        <f t="shared" si="82"/>
        <v>0.84708237662401653</v>
      </c>
      <c r="E101" s="105">
        <f t="shared" si="82"/>
        <v>0.83700858800411615</v>
      </c>
      <c r="F101" s="105">
        <v>0.79890833333333344</v>
      </c>
      <c r="G101" s="105">
        <f t="shared" si="83"/>
        <v>0.84708237662401653</v>
      </c>
      <c r="H101" s="105">
        <f t="shared" si="84"/>
        <v>0.83700858800411615</v>
      </c>
      <c r="I101" s="97">
        <v>3499.2185000000004</v>
      </c>
      <c r="J101" s="97">
        <f t="shared" si="85"/>
        <v>3710.2208096131926</v>
      </c>
      <c r="K101" s="97">
        <f t="shared" si="86"/>
        <v>3666.0976154580289</v>
      </c>
      <c r="L101" s="105">
        <v>9.2999999999999999E-2</v>
      </c>
      <c r="M101" s="105">
        <f t="shared" si="87"/>
        <v>9.2999999999999999E-2</v>
      </c>
      <c r="N101" s="105">
        <f t="shared" si="88"/>
        <v>9.2999999999999999E-2</v>
      </c>
      <c r="O101" s="97">
        <f t="shared" si="89"/>
        <v>3173.7911795000005</v>
      </c>
      <c r="P101" s="97">
        <v>3365.1702743191659</v>
      </c>
      <c r="Q101" s="97">
        <f t="shared" si="90"/>
        <v>3325.1505372204324</v>
      </c>
      <c r="R101" s="97">
        <v>2430</v>
      </c>
      <c r="S101" s="97">
        <f t="shared" si="91"/>
        <v>2429.983509918487</v>
      </c>
      <c r="T101" s="97">
        <f t="shared" si="92"/>
        <v>2430</v>
      </c>
      <c r="U101" s="97">
        <v>0.5</v>
      </c>
      <c r="V101" s="97">
        <f t="shared" si="93"/>
        <v>0.5</v>
      </c>
      <c r="W101" s="97">
        <f t="shared" ref="W101:W107" si="102">U101</f>
        <v>0.5</v>
      </c>
      <c r="X101" s="97">
        <v>10446.381585279727</v>
      </c>
      <c r="Y101" s="97">
        <v>9575.2300000000014</v>
      </c>
      <c r="Z101" s="97">
        <f t="shared" si="95"/>
        <v>9688.4838182499589</v>
      </c>
      <c r="AA101" s="97">
        <v>3478.4241214837384</v>
      </c>
      <c r="AB101" s="97">
        <v>3657.7285677703489</v>
      </c>
      <c r="AC101" s="97">
        <v>3395.1179015918715</v>
      </c>
      <c r="AD101" s="97">
        <v>42927.840002499113</v>
      </c>
      <c r="AE101" s="97">
        <v>73404.607830949564</v>
      </c>
      <c r="AF101" s="132">
        <v>70189.995723632921</v>
      </c>
      <c r="AG101" s="97">
        <v>4062.4917449669551</v>
      </c>
      <c r="AH101" s="97">
        <v>4672.8556567530995</v>
      </c>
      <c r="AI101" s="97">
        <v>4407.225510833925</v>
      </c>
      <c r="AJ101" s="97">
        <f t="shared" si="96"/>
        <v>0.69709061475029677</v>
      </c>
      <c r="AK101" s="97">
        <f t="shared" si="96"/>
        <v>0.66303331425076728</v>
      </c>
      <c r="AL101" s="97">
        <f t="shared" si="96"/>
        <v>0.71430678650476043</v>
      </c>
      <c r="AM101" s="124">
        <v>3.3109999999999999</v>
      </c>
      <c r="AN101" s="124">
        <f t="shared" si="97"/>
        <v>3.4564071411553785</v>
      </c>
      <c r="AO101" s="124">
        <f t="shared" si="97"/>
        <v>3.5095987760831298</v>
      </c>
      <c r="AP101" s="97">
        <f t="shared" si="98"/>
        <v>1050.84225953245</v>
      </c>
      <c r="AQ101" s="97">
        <f t="shared" si="98"/>
        <v>1163.139856736057</v>
      </c>
      <c r="AR101" s="97">
        <f t="shared" si="98"/>
        <v>1166.9944255720991</v>
      </c>
      <c r="AT101" s="9">
        <f t="shared" si="99"/>
        <v>1154.1282567745279</v>
      </c>
      <c r="AU101" s="9">
        <f t="shared" si="100"/>
        <v>12.866168797570994</v>
      </c>
      <c r="AV101" s="13">
        <f t="shared" si="101"/>
        <v>1166.9944255720989</v>
      </c>
    </row>
    <row r="102" spans="1:48" x14ac:dyDescent="0.35">
      <c r="A102" s="131">
        <f t="shared" si="81"/>
        <v>500</v>
      </c>
      <c r="B102" s="7" t="s">
        <v>156</v>
      </c>
      <c r="C102" s="105">
        <v>0.85</v>
      </c>
      <c r="D102" s="105">
        <f t="shared" si="82"/>
        <v>0.84956620273178673</v>
      </c>
      <c r="E102" s="105">
        <f t="shared" si="82"/>
        <v>0.85</v>
      </c>
      <c r="F102" s="105">
        <v>0.7874633333333334</v>
      </c>
      <c r="G102" s="105">
        <f t="shared" si="83"/>
        <v>0.84956620273178673</v>
      </c>
      <c r="H102" s="105">
        <f t="shared" si="84"/>
        <v>0.85</v>
      </c>
      <c r="I102" s="97">
        <v>3449.0894000000003</v>
      </c>
      <c r="J102" s="97">
        <f t="shared" si="85"/>
        <v>3721.0999679652259</v>
      </c>
      <c r="K102" s="97">
        <f t="shared" si="86"/>
        <v>3723</v>
      </c>
      <c r="L102" s="105">
        <v>9.2999999999999999E-2</v>
      </c>
      <c r="M102" s="105">
        <f t="shared" si="87"/>
        <v>9.2999999999999999E-2</v>
      </c>
      <c r="N102" s="105">
        <f t="shared" si="88"/>
        <v>9.2999999999999999E-2</v>
      </c>
      <c r="O102" s="97">
        <f t="shared" si="89"/>
        <v>3128.3240858000004</v>
      </c>
      <c r="P102" s="97">
        <v>3375.0376709444599</v>
      </c>
      <c r="Q102" s="97">
        <f t="shared" si="90"/>
        <v>3376.761</v>
      </c>
      <c r="R102" s="97">
        <v>2430</v>
      </c>
      <c r="S102" s="97">
        <f t="shared" si="91"/>
        <v>2429.9975841093237</v>
      </c>
      <c r="T102" s="97">
        <f t="shared" si="92"/>
        <v>2430</v>
      </c>
      <c r="U102" s="97">
        <v>0.5</v>
      </c>
      <c r="V102" s="97">
        <f t="shared" si="93"/>
        <v>0.5</v>
      </c>
      <c r="W102" s="97">
        <f t="shared" si="102"/>
        <v>0.5</v>
      </c>
      <c r="X102" s="97">
        <v>10346</v>
      </c>
      <c r="Y102" s="97">
        <v>9462.7569999999996</v>
      </c>
      <c r="Z102" s="97">
        <f t="shared" si="95"/>
        <v>9327.3796000000002</v>
      </c>
      <c r="AA102" s="97">
        <v>3195.1644970603079</v>
      </c>
      <c r="AB102" s="97">
        <v>3439.2751524390242</v>
      </c>
      <c r="AC102" s="97">
        <v>3178.0093970918992</v>
      </c>
      <c r="AD102" s="97">
        <v>44051.788821722817</v>
      </c>
      <c r="AE102" s="97">
        <v>57775.088070000013</v>
      </c>
      <c r="AF102" s="132">
        <v>63635.115739814282</v>
      </c>
      <c r="AG102" s="97">
        <v>5038.4172673507373</v>
      </c>
      <c r="AH102" s="97">
        <v>6026.616652350056</v>
      </c>
      <c r="AI102" s="97">
        <v>6014.7889608280348</v>
      </c>
      <c r="AJ102" s="97">
        <f t="shared" si="96"/>
        <v>0.75890521512458842</v>
      </c>
      <c r="AK102" s="97">
        <f t="shared" si="96"/>
        <v>0.70516783278866257</v>
      </c>
      <c r="AL102" s="97">
        <f t="shared" si="96"/>
        <v>0.76316209524721734</v>
      </c>
      <c r="AM102" s="124">
        <v>4.4820000000000002</v>
      </c>
      <c r="AN102" s="124">
        <f t="shared" si="97"/>
        <v>4.7173800968255275</v>
      </c>
      <c r="AO102" s="124">
        <f t="shared" si="97"/>
        <v>5.0960049654743802</v>
      </c>
      <c r="AP102" s="97">
        <f t="shared" si="98"/>
        <v>1402.1148552555601</v>
      </c>
      <c r="AQ102" s="97">
        <f t="shared" si="98"/>
        <v>1592.1335534949781</v>
      </c>
      <c r="AR102" s="97">
        <f t="shared" si="98"/>
        <v>1720.7990823220232</v>
      </c>
      <c r="AT102" s="9">
        <f t="shared" si="99"/>
        <v>1708.9534055270572</v>
      </c>
      <c r="AU102" s="9">
        <f t="shared" si="100"/>
        <v>11.845676794966428</v>
      </c>
      <c r="AV102" s="13">
        <f t="shared" si="101"/>
        <v>1720.7990823220237</v>
      </c>
    </row>
    <row r="103" spans="1:48" x14ac:dyDescent="0.35">
      <c r="A103" s="131">
        <f t="shared" si="81"/>
        <v>500</v>
      </c>
      <c r="B103" s="7" t="s">
        <v>8</v>
      </c>
      <c r="C103" s="105">
        <v>0.85</v>
      </c>
      <c r="D103" s="105">
        <f t="shared" si="82"/>
        <v>0.85228080190331335</v>
      </c>
      <c r="E103" s="105">
        <f t="shared" si="82"/>
        <v>0.85</v>
      </c>
      <c r="F103" s="105">
        <v>0.81423156980454459</v>
      </c>
      <c r="G103" s="105">
        <f t="shared" si="83"/>
        <v>0.85228080190331335</v>
      </c>
      <c r="H103" s="105">
        <f t="shared" si="84"/>
        <v>0.85</v>
      </c>
      <c r="I103" s="97">
        <v>3566.3342757439054</v>
      </c>
      <c r="J103" s="97">
        <f t="shared" si="85"/>
        <v>3732.9899123365126</v>
      </c>
      <c r="K103" s="97">
        <f t="shared" si="86"/>
        <v>3723</v>
      </c>
      <c r="L103" s="105">
        <v>0.06</v>
      </c>
      <c r="M103" s="105">
        <f t="shared" si="87"/>
        <v>0.06</v>
      </c>
      <c r="N103" s="105">
        <f t="shared" si="88"/>
        <v>0.06</v>
      </c>
      <c r="O103" s="97">
        <f t="shared" si="89"/>
        <v>3352.354219199271</v>
      </c>
      <c r="P103" s="97">
        <v>3509.0105175963217</v>
      </c>
      <c r="Q103" s="97">
        <f t="shared" si="90"/>
        <v>3499.62</v>
      </c>
      <c r="R103" s="97">
        <v>2375</v>
      </c>
      <c r="S103" s="97">
        <f t="shared" si="91"/>
        <v>2375.0130122096216</v>
      </c>
      <c r="T103" s="97">
        <f t="shared" si="92"/>
        <v>2375</v>
      </c>
      <c r="U103" s="97">
        <v>0.5</v>
      </c>
      <c r="V103" s="97">
        <f t="shared" si="93"/>
        <v>0.5</v>
      </c>
      <c r="W103" s="97">
        <f t="shared" si="102"/>
        <v>0.5</v>
      </c>
      <c r="X103" s="97">
        <v>10500.369112605771</v>
      </c>
      <c r="Y103" s="97">
        <v>9724.6994000000013</v>
      </c>
      <c r="Z103" s="97">
        <f t="shared" si="95"/>
        <v>9488.930302864992</v>
      </c>
      <c r="AA103" s="97">
        <v>3594.7891231346525</v>
      </c>
      <c r="AB103" s="97">
        <v>3662.1475636863074</v>
      </c>
      <c r="AC103" s="97">
        <v>3503.0211424615582</v>
      </c>
      <c r="AD103" s="97">
        <v>48305.190176354081</v>
      </c>
      <c r="AE103" s="97">
        <v>45247.947577180217</v>
      </c>
      <c r="AF103" s="132">
        <v>56842.878711136218</v>
      </c>
      <c r="AG103" s="97">
        <v>3647.165634052888</v>
      </c>
      <c r="AH103" s="97">
        <v>5733.2665635565727</v>
      </c>
      <c r="AI103" s="97">
        <v>5540.7989444145605</v>
      </c>
      <c r="AJ103" s="97">
        <f t="shared" si="96"/>
        <v>0.65921803317833494</v>
      </c>
      <c r="AK103" s="97">
        <f t="shared" si="96"/>
        <v>0.64720239184568373</v>
      </c>
      <c r="AL103" s="97">
        <f t="shared" si="96"/>
        <v>0.67663180964503089</v>
      </c>
      <c r="AM103" s="124">
        <v>2.7130000000000001</v>
      </c>
      <c r="AN103" s="124">
        <f t="shared" si="97"/>
        <v>3.9714976668205191</v>
      </c>
      <c r="AO103" s="124">
        <f t="shared" si="97"/>
        <v>4.0186194212702864</v>
      </c>
      <c r="AP103" s="97">
        <f t="shared" si="98"/>
        <v>909.49369966876225</v>
      </c>
      <c r="AQ103" s="97">
        <f t="shared" si="98"/>
        <v>1393.6027083482454</v>
      </c>
      <c r="AR103" s="97">
        <f t="shared" si="98"/>
        <v>1406.3640899065917</v>
      </c>
      <c r="AT103" s="9">
        <f t="shared" si="99"/>
        <v>1395.7827880345139</v>
      </c>
      <c r="AU103" s="9">
        <f t="shared" si="100"/>
        <v>10.581301872078008</v>
      </c>
      <c r="AV103" s="13">
        <f t="shared" si="101"/>
        <v>1406.364089906592</v>
      </c>
    </row>
    <row r="104" spans="1:48" x14ac:dyDescent="0.35">
      <c r="A104" s="131">
        <f t="shared" si="81"/>
        <v>1000</v>
      </c>
      <c r="B104" s="7" t="s">
        <v>157</v>
      </c>
      <c r="C104" s="105">
        <v>0.85</v>
      </c>
      <c r="D104" s="105">
        <f t="shared" si="82"/>
        <v>0.84957534183321659</v>
      </c>
      <c r="E104" s="105">
        <f t="shared" si="82"/>
        <v>0.85</v>
      </c>
      <c r="F104" s="105">
        <v>0.85</v>
      </c>
      <c r="G104" s="105">
        <f t="shared" si="83"/>
        <v>0.84957534183321659</v>
      </c>
      <c r="H104" s="105">
        <f t="shared" si="84"/>
        <v>0.85</v>
      </c>
      <c r="I104" s="97">
        <v>7446</v>
      </c>
      <c r="J104" s="97">
        <f t="shared" si="85"/>
        <v>7442.2799944589769</v>
      </c>
      <c r="K104" s="97">
        <f t="shared" si="86"/>
        <v>7446</v>
      </c>
      <c r="L104" s="105">
        <v>0.06</v>
      </c>
      <c r="M104" s="105">
        <f t="shared" si="87"/>
        <v>0.06</v>
      </c>
      <c r="N104" s="105">
        <f t="shared" si="88"/>
        <v>0.06</v>
      </c>
      <c r="O104" s="97">
        <f t="shared" si="89"/>
        <v>6999.24</v>
      </c>
      <c r="P104" s="97">
        <v>6995.7431947914383</v>
      </c>
      <c r="Q104" s="97">
        <f t="shared" si="90"/>
        <v>6999.24</v>
      </c>
      <c r="R104" s="97">
        <v>2375</v>
      </c>
      <c r="S104" s="97">
        <f t="shared" si="91"/>
        <v>2374.9975605537352</v>
      </c>
      <c r="T104" s="97">
        <f t="shared" si="92"/>
        <v>2375</v>
      </c>
      <c r="U104" s="97">
        <v>0.5</v>
      </c>
      <c r="V104" s="97">
        <f t="shared" si="93"/>
        <v>0.5</v>
      </c>
      <c r="W104" s="97">
        <f t="shared" si="102"/>
        <v>0.5</v>
      </c>
      <c r="X104" s="97">
        <v>9844.0694151565749</v>
      </c>
      <c r="Y104" s="97">
        <v>9760.7608</v>
      </c>
      <c r="Z104" s="97">
        <f t="shared" si="95"/>
        <v>9836.3163999999997</v>
      </c>
      <c r="AA104" s="97">
        <v>3700.4224947494922</v>
      </c>
      <c r="AB104" s="97">
        <v>3956.2802903177449</v>
      </c>
      <c r="AC104" s="97">
        <v>3896.6523128580266</v>
      </c>
      <c r="AD104" s="97">
        <v>42006.458860465114</v>
      </c>
      <c r="AE104" s="97">
        <v>51348.436726261134</v>
      </c>
      <c r="AF104" s="132">
        <v>65686.295301511127</v>
      </c>
      <c r="AG104" s="97">
        <v>5010.2909597322005</v>
      </c>
      <c r="AH104" s="97">
        <v>6769.3234609861584</v>
      </c>
      <c r="AI104" s="97">
        <v>5735.4504822590043</v>
      </c>
      <c r="AJ104" s="97">
        <f t="shared" si="96"/>
        <v>0.64048847629029149</v>
      </c>
      <c r="AK104" s="97">
        <f t="shared" si="96"/>
        <v>0.5990771649708827</v>
      </c>
      <c r="AL104" s="97">
        <f t="shared" si="96"/>
        <v>0.60823539066580123</v>
      </c>
      <c r="AM104" s="124">
        <v>3.6150000000000002</v>
      </c>
      <c r="AN104" s="124">
        <f t="shared" si="97"/>
        <v>4.3415120490868109</v>
      </c>
      <c r="AO104" s="124">
        <f t="shared" si="97"/>
        <v>3.746113949331829</v>
      </c>
      <c r="AP104" s="97">
        <f t="shared" si="98"/>
        <v>2530.2252600000002</v>
      </c>
      <c r="AQ104" s="97">
        <f t="shared" si="98"/>
        <v>3037.2103372504089</v>
      </c>
      <c r="AR104" s="97">
        <f t="shared" si="98"/>
        <v>2621.9950598721307</v>
      </c>
      <c r="AT104" s="9">
        <f t="shared" si="99"/>
        <v>2597.5400521313782</v>
      </c>
      <c r="AU104" s="9">
        <f t="shared" si="100"/>
        <v>24.455007740752592</v>
      </c>
      <c r="AV104" s="13">
        <f t="shared" si="101"/>
        <v>2621.9950598721307</v>
      </c>
    </row>
    <row r="105" spans="1:48" x14ac:dyDescent="0.35">
      <c r="A105" s="131">
        <f t="shared" si="81"/>
        <v>1980</v>
      </c>
      <c r="B105" s="7" t="s">
        <v>158</v>
      </c>
      <c r="C105" s="105">
        <v>0.85</v>
      </c>
      <c r="D105" s="105">
        <f t="shared" si="82"/>
        <v>0.84967763794381101</v>
      </c>
      <c r="E105" s="105">
        <f t="shared" si="82"/>
        <v>0.71684271338041483</v>
      </c>
      <c r="F105" s="105">
        <v>0.60016582062600443</v>
      </c>
      <c r="G105" s="105">
        <f t="shared" si="83"/>
        <v>0.84967763794381101</v>
      </c>
      <c r="H105" s="105">
        <f t="shared" si="84"/>
        <v>0.71684271338041483</v>
      </c>
      <c r="I105" s="97">
        <v>10409.756125593922</v>
      </c>
      <c r="J105" s="97">
        <f t="shared" si="85"/>
        <v>14737.488694607813</v>
      </c>
      <c r="K105" s="97">
        <f t="shared" si="86"/>
        <v>12433.493495040619</v>
      </c>
      <c r="L105" s="105">
        <v>0.06</v>
      </c>
      <c r="M105" s="105">
        <f t="shared" si="87"/>
        <v>0.06</v>
      </c>
      <c r="N105" s="105">
        <f t="shared" si="88"/>
        <v>0.06</v>
      </c>
      <c r="O105" s="97">
        <f t="shared" si="89"/>
        <v>9785.1707580582861</v>
      </c>
      <c r="P105" s="97">
        <v>13853.239372931344</v>
      </c>
      <c r="Q105" s="97">
        <f t="shared" si="90"/>
        <v>11687.483885338181</v>
      </c>
      <c r="R105" s="97">
        <v>2230</v>
      </c>
      <c r="S105" s="97">
        <f t="shared" si="91"/>
        <v>2229.9982608378346</v>
      </c>
      <c r="T105" s="97">
        <f t="shared" si="92"/>
        <v>2230</v>
      </c>
      <c r="U105" s="97">
        <v>0.5</v>
      </c>
      <c r="V105" s="97">
        <f t="shared" si="93"/>
        <v>0.5</v>
      </c>
      <c r="W105" s="97">
        <f t="shared" si="102"/>
        <v>0.5</v>
      </c>
      <c r="X105" s="97">
        <v>10520.504355722594</v>
      </c>
      <c r="Y105" s="97">
        <v>9168.1211999999978</v>
      </c>
      <c r="Z105" s="97">
        <f t="shared" si="95"/>
        <v>9557.3890338084038</v>
      </c>
      <c r="AA105" s="97">
        <v>3531.2789094092705</v>
      </c>
      <c r="AB105" s="97">
        <v>3929.4334891061853</v>
      </c>
      <c r="AC105" s="97">
        <v>4041.6705340618073</v>
      </c>
      <c r="AD105" s="97">
        <v>49559.037978478911</v>
      </c>
      <c r="AE105" s="97">
        <v>69779.899425600728</v>
      </c>
      <c r="AF105" s="132">
        <v>65995.767224160343</v>
      </c>
      <c r="AG105" s="97">
        <v>3538.2874110237881</v>
      </c>
      <c r="AH105" s="97">
        <v>5975.8034888453758</v>
      </c>
      <c r="AI105" s="97">
        <v>5265.6648958072392</v>
      </c>
      <c r="AJ105" s="97">
        <f t="shared" si="96"/>
        <v>0.63000963812125055</v>
      </c>
      <c r="AK105" s="97">
        <f t="shared" si="96"/>
        <v>0.56634479407972915</v>
      </c>
      <c r="AL105" s="97">
        <f t="shared" si="96"/>
        <v>0.55056969308351511</v>
      </c>
      <c r="AM105" s="124">
        <v>2.5179999999999998</v>
      </c>
      <c r="AN105" s="124">
        <f t="shared" si="97"/>
        <v>3.6375054745360238</v>
      </c>
      <c r="AO105" s="124">
        <f t="shared" si="97"/>
        <v>3.119269562954587</v>
      </c>
      <c r="AP105" s="97">
        <f t="shared" si="98"/>
        <v>2463.9059968790762</v>
      </c>
      <c r="AQ105" s="97">
        <f t="shared" si="98"/>
        <v>5039.1234059095759</v>
      </c>
      <c r="AR105" s="97">
        <f t="shared" si="98"/>
        <v>3645.6412751057605</v>
      </c>
      <c r="AT105" s="9">
        <f t="shared" si="99"/>
        <v>3604.6133779816696</v>
      </c>
      <c r="AU105" s="9">
        <f t="shared" si="100"/>
        <v>41.027897124090622</v>
      </c>
      <c r="AV105" s="13">
        <f t="shared" si="101"/>
        <v>3645.6412751057601</v>
      </c>
    </row>
    <row r="106" spans="1:48" x14ac:dyDescent="0.35">
      <c r="A106" s="131">
        <f t="shared" si="81"/>
        <v>1000</v>
      </c>
      <c r="B106" s="7" t="s">
        <v>159</v>
      </c>
      <c r="C106" s="105">
        <v>0.85</v>
      </c>
      <c r="D106" s="105">
        <f t="shared" si="82"/>
        <v>0.85358947257842865</v>
      </c>
      <c r="E106" s="105">
        <f t="shared" si="82"/>
        <v>0.85</v>
      </c>
      <c r="F106" s="105">
        <v>0.83125499999999997</v>
      </c>
      <c r="G106" s="105">
        <f t="shared" si="83"/>
        <v>0.85358947257842865</v>
      </c>
      <c r="H106" s="105">
        <f t="shared" si="84"/>
        <v>0.85</v>
      </c>
      <c r="I106" s="97">
        <v>7281.7937999999995</v>
      </c>
      <c r="J106" s="97">
        <f t="shared" si="85"/>
        <v>7477.443779787036</v>
      </c>
      <c r="K106" s="97">
        <f t="shared" si="86"/>
        <v>7446</v>
      </c>
      <c r="L106" s="105">
        <v>0.06</v>
      </c>
      <c r="M106" s="105">
        <f t="shared" si="87"/>
        <v>0.06</v>
      </c>
      <c r="N106" s="105">
        <f t="shared" si="88"/>
        <v>0.06</v>
      </c>
      <c r="O106" s="97">
        <f t="shared" si="89"/>
        <v>6844.8861719999995</v>
      </c>
      <c r="P106" s="97">
        <v>7028.7971529998131</v>
      </c>
      <c r="Q106" s="97">
        <f t="shared" si="90"/>
        <v>6999.24</v>
      </c>
      <c r="R106" s="97">
        <v>2375</v>
      </c>
      <c r="S106" s="97">
        <f t="shared" si="91"/>
        <v>2375.0203666036296</v>
      </c>
      <c r="T106" s="97">
        <f t="shared" si="92"/>
        <v>2375</v>
      </c>
      <c r="U106" s="97">
        <v>0.5</v>
      </c>
      <c r="V106" s="97">
        <f t="shared" si="93"/>
        <v>0.5</v>
      </c>
      <c r="W106" s="97">
        <f t="shared" si="102"/>
        <v>0.5</v>
      </c>
      <c r="X106" s="97">
        <v>10354.860804599088</v>
      </c>
      <c r="Y106" s="97">
        <v>9686.5030000000006</v>
      </c>
      <c r="Z106" s="97">
        <f t="shared" si="95"/>
        <v>9557.3890338084038</v>
      </c>
      <c r="AA106" s="97">
        <v>3791.3746609646087</v>
      </c>
      <c r="AB106" s="97">
        <v>3635.8326241307236</v>
      </c>
      <c r="AC106" s="97">
        <v>3602.596956895431</v>
      </c>
      <c r="AD106" s="97">
        <v>47404.473862148632</v>
      </c>
      <c r="AE106" s="97">
        <v>60906.609721999994</v>
      </c>
      <c r="AF106" s="132">
        <v>65995.767224160343</v>
      </c>
      <c r="AG106" s="97">
        <v>3831.6363715000375</v>
      </c>
      <c r="AH106" s="97">
        <v>5778.8663609667519</v>
      </c>
      <c r="AI106" s="97">
        <v>4867.4097584371948</v>
      </c>
      <c r="AJ106" s="97">
        <f t="shared" si="96"/>
        <v>0.62505628736643126</v>
      </c>
      <c r="AK106" s="97">
        <f t="shared" si="96"/>
        <v>0.65189390165349148</v>
      </c>
      <c r="AL106" s="97">
        <f t="shared" si="96"/>
        <v>0.6579201986351686</v>
      </c>
      <c r="AM106" s="124">
        <v>2.7</v>
      </c>
      <c r="AN106" s="124">
        <f t="shared" si="97"/>
        <v>4.0400649404741813</v>
      </c>
      <c r="AO106" s="124">
        <f t="shared" si="97"/>
        <v>3.4418777433211036</v>
      </c>
      <c r="AP106" s="97">
        <f t="shared" si="98"/>
        <v>1848.11926644</v>
      </c>
      <c r="AQ106" s="97">
        <f t="shared" si="98"/>
        <v>2839.6796951539282</v>
      </c>
      <c r="AR106" s="97">
        <f t="shared" si="98"/>
        <v>2409.0528376162802</v>
      </c>
      <c r="AT106" s="9">
        <f t="shared" si="99"/>
        <v>2384.4826134787254</v>
      </c>
      <c r="AU106" s="9">
        <f t="shared" si="100"/>
        <v>24.570224137554895</v>
      </c>
      <c r="AV106" s="13">
        <f t="shared" si="101"/>
        <v>2409.0528376162802</v>
      </c>
    </row>
    <row r="107" spans="1:48" x14ac:dyDescent="0.35">
      <c r="A107" s="131">
        <f t="shared" si="81"/>
        <v>250</v>
      </c>
      <c r="B107" s="7" t="s">
        <v>160</v>
      </c>
      <c r="C107" s="105">
        <v>0.85</v>
      </c>
      <c r="D107" s="105">
        <f t="shared" si="82"/>
        <v>0.85270749216937247</v>
      </c>
      <c r="E107" s="105">
        <f t="shared" si="82"/>
        <v>0.85</v>
      </c>
      <c r="F107" s="105">
        <v>0.73714333333333326</v>
      </c>
      <c r="G107" s="105">
        <f t="shared" si="83"/>
        <v>0.85270749216937247</v>
      </c>
      <c r="H107" s="105">
        <f t="shared" si="84"/>
        <v>0.85</v>
      </c>
      <c r="I107" s="97">
        <v>1614.3438999999998</v>
      </c>
      <c r="J107" s="97">
        <f t="shared" si="85"/>
        <v>1867.4294078509256</v>
      </c>
      <c r="K107" s="97">
        <f t="shared" si="86"/>
        <v>1861.5</v>
      </c>
      <c r="L107" s="105">
        <v>8.5000000000000006E-2</v>
      </c>
      <c r="M107" s="105">
        <f t="shared" si="87"/>
        <v>8.5000000000000006E-2</v>
      </c>
      <c r="N107" s="105">
        <f t="shared" si="88"/>
        <v>8.5000000000000006E-2</v>
      </c>
      <c r="O107" s="97">
        <f t="shared" si="89"/>
        <v>1477.1246684999999</v>
      </c>
      <c r="P107" s="97">
        <v>1708.6979081835971</v>
      </c>
      <c r="Q107" s="97">
        <f t="shared" si="90"/>
        <v>1703.2725</v>
      </c>
      <c r="R107" s="97">
        <v>2430</v>
      </c>
      <c r="S107" s="97">
        <f t="shared" si="91"/>
        <v>2430.0150229361848</v>
      </c>
      <c r="T107" s="97">
        <f t="shared" si="92"/>
        <v>2430</v>
      </c>
      <c r="U107" s="97">
        <v>0.5</v>
      </c>
      <c r="V107" s="97">
        <f t="shared" si="93"/>
        <v>0.5</v>
      </c>
      <c r="W107" s="97">
        <f t="shared" si="102"/>
        <v>0.5</v>
      </c>
      <c r="X107" s="97">
        <v>10346</v>
      </c>
      <c r="Y107" s="97">
        <v>9462.7569999999996</v>
      </c>
      <c r="Z107" s="97">
        <f t="shared" si="95"/>
        <v>9327.3796000000002</v>
      </c>
      <c r="AA107" s="97">
        <v>3272.0240247141805</v>
      </c>
      <c r="AB107" s="97">
        <v>3489.2496147919874</v>
      </c>
      <c r="AC107" s="97">
        <v>3068.2215590943842</v>
      </c>
      <c r="AD107" s="97">
        <v>44055.388079696677</v>
      </c>
      <c r="AE107" s="97">
        <v>55278.689243282999</v>
      </c>
      <c r="AF107" s="132">
        <v>64030.197178200302</v>
      </c>
      <c r="AG107" s="97">
        <v>4983.0245747653298</v>
      </c>
      <c r="AH107" s="97">
        <v>6350.3852338166535</v>
      </c>
      <c r="AI107" s="97">
        <v>5807.2495173098469</v>
      </c>
      <c r="AJ107" s="97">
        <f t="shared" si="96"/>
        <v>0.74107860507283863</v>
      </c>
      <c r="AK107" s="97">
        <f t="shared" si="96"/>
        <v>0.69507312808882227</v>
      </c>
      <c r="AL107" s="97">
        <f t="shared" si="96"/>
        <v>0.79046974395025815</v>
      </c>
      <c r="AM107" s="124">
        <v>4.29</v>
      </c>
      <c r="AN107" s="124">
        <f t="shared" si="97"/>
        <v>4.8542311187537157</v>
      </c>
      <c r="AO107" s="124">
        <f t="shared" si="97"/>
        <v>5.0518799317948355</v>
      </c>
      <c r="AP107" s="97">
        <f t="shared" si="98"/>
        <v>633.68648278649994</v>
      </c>
      <c r="AQ107" s="97">
        <f t="shared" si="98"/>
        <v>829.44145584541968</v>
      </c>
      <c r="AR107" s="97">
        <f t="shared" si="98"/>
        <v>860.47281611280198</v>
      </c>
      <c r="AT107" s="9">
        <f t="shared" si="99"/>
        <v>854.51320551044103</v>
      </c>
      <c r="AU107" s="9">
        <f t="shared" si="100"/>
        <v>5.9596106023609927</v>
      </c>
      <c r="AV107" s="13">
        <f t="shared" si="101"/>
        <v>860.47281611280198</v>
      </c>
    </row>
    <row r="108" spans="1:48" x14ac:dyDescent="0.35">
      <c r="B108" s="12" t="s">
        <v>27</v>
      </c>
      <c r="C108" s="7"/>
      <c r="D108" s="7"/>
      <c r="E108" s="7"/>
      <c r="F108" s="7"/>
      <c r="G108" s="7"/>
      <c r="H108" s="7"/>
      <c r="I108" s="98">
        <f>SUM(I95:I107)</f>
        <v>63580.13541092143</v>
      </c>
      <c r="J108" s="98">
        <f>SUM(J95:J107)</f>
        <v>72296.985869427692</v>
      </c>
      <c r="K108" s="98">
        <f>SUM(K95:K107)</f>
        <v>66667.730140704196</v>
      </c>
      <c r="L108" s="126">
        <f>SUMPRODUCT(I95:I107,L95:L107)/I108</f>
        <v>7.4268219205816874E-2</v>
      </c>
      <c r="M108" s="126">
        <f>SUMPRODUCT(J95:J107,M95:M107)/J108</f>
        <v>7.4762959837977483E-2</v>
      </c>
      <c r="N108" s="126">
        <f>SUMPRODUCT(K95:K107,N95:N107)/K108</f>
        <v>7.470567671861153E-2</v>
      </c>
      <c r="O108" s="98">
        <f>SUM(O95:O107)</f>
        <v>58858.151977087604</v>
      </c>
      <c r="P108" s="98">
        <f>SUM(P95:P107)</f>
        <v>66891.849218464835</v>
      </c>
      <c r="Q108" s="98">
        <f>SUM(Q95:Q107)</f>
        <v>61687.272245249122</v>
      </c>
      <c r="R108" s="98">
        <f>SUMPRODUCT(I95:I107,R95:R107)/I108</f>
        <v>2458.2052775285692</v>
      </c>
      <c r="S108" s="98">
        <f>SUMPRODUCT(J95:J107,S95:S107)/J108</f>
        <v>2467.2687021530637</v>
      </c>
      <c r="T108" s="98">
        <f>SUMPRODUCT(K95:K107,T95:T107)/K108</f>
        <v>2452.4717940231808</v>
      </c>
      <c r="U108" s="98">
        <f>SUMPRODUCT(I95:I107,U95:U107)/I108</f>
        <v>0.72087380193959816</v>
      </c>
      <c r="V108" s="98">
        <f>SUMPRODUCT(J95:J107,V95:V107)/J108</f>
        <v>0.74812761407058515</v>
      </c>
      <c r="W108" s="98">
        <f>SUMPRODUCT(K95:K107,W95:W107)/K108</f>
        <v>0.72535022195757903</v>
      </c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8">
        <f>SUM(AP95:AP107)</f>
        <v>18387.967453426747</v>
      </c>
      <c r="AQ108" s="98">
        <f>SUM(AQ95:AQ107)</f>
        <v>28223.427239018612</v>
      </c>
      <c r="AR108" s="98">
        <f>SUM(AR95:AR107)</f>
        <v>24517.79711614663</v>
      </c>
      <c r="AT108" s="98">
        <f t="shared" ref="AT108:AV108" si="103">SUM(AT95:AT107)</f>
        <v>24198.356807003362</v>
      </c>
      <c r="AU108" s="98">
        <f t="shared" si="103"/>
        <v>319.44030914327215</v>
      </c>
      <c r="AV108" s="98">
        <f t="shared" si="103"/>
        <v>24517.797116146634</v>
      </c>
    </row>
  </sheetData>
  <mergeCells count="90">
    <mergeCell ref="AP93:AR93"/>
    <mergeCell ref="U93:W93"/>
    <mergeCell ref="X93:Z93"/>
    <mergeCell ref="AA93:AC93"/>
    <mergeCell ref="AD93:AF93"/>
    <mergeCell ref="AG93:AI93"/>
    <mergeCell ref="AJ93:AL93"/>
    <mergeCell ref="AM75:AO75"/>
    <mergeCell ref="AP75:AR75"/>
    <mergeCell ref="B93:B94"/>
    <mergeCell ref="C93:E93"/>
    <mergeCell ref="F93:H93"/>
    <mergeCell ref="I93:K93"/>
    <mergeCell ref="L93:N93"/>
    <mergeCell ref="O93:Q93"/>
    <mergeCell ref="R93:T93"/>
    <mergeCell ref="R75:T75"/>
    <mergeCell ref="U75:W75"/>
    <mergeCell ref="X75:Z75"/>
    <mergeCell ref="AA75:AC75"/>
    <mergeCell ref="AD75:AF75"/>
    <mergeCell ref="AG75:AI75"/>
    <mergeCell ref="AM93:AO93"/>
    <mergeCell ref="B75:B76"/>
    <mergeCell ref="C75:E75"/>
    <mergeCell ref="F75:H75"/>
    <mergeCell ref="I75:K75"/>
    <mergeCell ref="L75:N75"/>
    <mergeCell ref="O75:Q75"/>
    <mergeCell ref="AA57:AC57"/>
    <mergeCell ref="AD57:AF57"/>
    <mergeCell ref="AG57:AI57"/>
    <mergeCell ref="AJ57:AL57"/>
    <mergeCell ref="AJ75:AL75"/>
    <mergeCell ref="AM57:AO57"/>
    <mergeCell ref="AP57:AR57"/>
    <mergeCell ref="AP39:AR39"/>
    <mergeCell ref="B57:B58"/>
    <mergeCell ref="C57:E57"/>
    <mergeCell ref="F57:H57"/>
    <mergeCell ref="I57:K57"/>
    <mergeCell ref="L57:N57"/>
    <mergeCell ref="O57:Q57"/>
    <mergeCell ref="R57:T57"/>
    <mergeCell ref="U57:W57"/>
    <mergeCell ref="X57:Z57"/>
    <mergeCell ref="X39:Z39"/>
    <mergeCell ref="AA39:AC39"/>
    <mergeCell ref="AD39:AF39"/>
    <mergeCell ref="AG39:AI39"/>
    <mergeCell ref="AJ39:AL39"/>
    <mergeCell ref="AM39:AO39"/>
    <mergeCell ref="AM21:AO21"/>
    <mergeCell ref="AP21:AR21"/>
    <mergeCell ref="B39:B40"/>
    <mergeCell ref="C39:E39"/>
    <mergeCell ref="F39:H39"/>
    <mergeCell ref="I39:K39"/>
    <mergeCell ref="L39:N39"/>
    <mergeCell ref="O39:Q39"/>
    <mergeCell ref="R39:T39"/>
    <mergeCell ref="U39:W39"/>
    <mergeCell ref="U21:W21"/>
    <mergeCell ref="X21:Z21"/>
    <mergeCell ref="AA21:AC21"/>
    <mergeCell ref="AD21:AF21"/>
    <mergeCell ref="AG21:AI21"/>
    <mergeCell ref="AJ21:AL21"/>
    <mergeCell ref="AJ3:AL3"/>
    <mergeCell ref="AM3:AO3"/>
    <mergeCell ref="AP3:AR3"/>
    <mergeCell ref="B21:B22"/>
    <mergeCell ref="C21:E21"/>
    <mergeCell ref="F21:H21"/>
    <mergeCell ref="I21:K21"/>
    <mergeCell ref="L21:N21"/>
    <mergeCell ref="O21:Q21"/>
    <mergeCell ref="R21:T21"/>
    <mergeCell ref="R3:T3"/>
    <mergeCell ref="U3:W3"/>
    <mergeCell ref="X3:Z3"/>
    <mergeCell ref="AA3:AC3"/>
    <mergeCell ref="AD3:AF3"/>
    <mergeCell ref="AG3:AI3"/>
    <mergeCell ref="B3:B4"/>
    <mergeCell ref="C3:E3"/>
    <mergeCell ref="F3:H3"/>
    <mergeCell ref="I3:K3"/>
    <mergeCell ref="L3:N3"/>
    <mergeCell ref="O3:Q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91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3.81640625" style="5" customWidth="1"/>
    <col min="4" max="5" width="12" style="5" customWidth="1"/>
    <col min="6" max="6" width="13.81640625" style="5" customWidth="1"/>
    <col min="7" max="7" width="12" style="5" customWidth="1"/>
    <col min="8" max="8" width="10.54296875" style="5" bestFit="1" customWidth="1"/>
    <col min="9" max="9" width="13.81640625" style="5" customWidth="1"/>
    <col min="10" max="10" width="12" style="5" customWidth="1"/>
    <col min="11" max="11" width="10.54296875" style="5" bestFit="1" customWidth="1"/>
    <col min="12" max="12" width="15.26953125" style="5" customWidth="1"/>
    <col min="13" max="13" width="15.54296875" style="5" customWidth="1"/>
    <col min="14" max="14" width="16.453125" style="5" customWidth="1"/>
    <col min="15" max="15" width="15.81640625" style="5" customWidth="1"/>
    <col min="16" max="17" width="12.26953125" style="5" customWidth="1"/>
    <col min="18" max="18" width="14.26953125" style="5" bestFit="1" customWidth="1"/>
    <col min="19" max="19" width="20.453125" style="5" customWidth="1"/>
    <col min="20" max="20" width="19.54296875" style="5" customWidth="1"/>
    <col min="21" max="21" width="18.7265625" style="5" customWidth="1"/>
    <col min="22" max="22" width="19.1796875" style="5" customWidth="1"/>
    <col min="23" max="23" width="15.7265625" style="5" customWidth="1"/>
    <col min="24" max="24" width="12.453125" style="5" customWidth="1"/>
    <col min="25" max="25" width="13.81640625" style="5" customWidth="1"/>
    <col min="26" max="26" width="15.81640625" style="5" customWidth="1"/>
    <col min="27" max="27" width="14" style="5" customWidth="1"/>
    <col min="28" max="28" width="11.26953125" style="5" customWidth="1"/>
    <col min="29" max="31" width="12.26953125" style="5" customWidth="1"/>
    <col min="32" max="32" width="13.453125" style="5" customWidth="1"/>
    <col min="33" max="33" width="11.54296875" style="5" customWidth="1"/>
    <col min="34" max="34" width="11.1796875" style="5" customWidth="1"/>
    <col min="35" max="35" width="10.81640625" style="5" customWidth="1"/>
    <col min="36" max="37" width="11.54296875" style="5" customWidth="1"/>
    <col min="38" max="38" width="9.1796875" style="5"/>
    <col min="39" max="39" width="10.54296875" style="5" bestFit="1" customWidth="1"/>
    <col min="40" max="16384" width="9.1796875" style="5"/>
  </cols>
  <sheetData>
    <row r="2" spans="2:26" x14ac:dyDescent="0.35">
      <c r="B2" s="3" t="s">
        <v>297</v>
      </c>
    </row>
    <row r="3" spans="2:26" x14ac:dyDescent="0.35">
      <c r="B3" s="187" t="s">
        <v>170</v>
      </c>
      <c r="C3" s="187" t="s">
        <v>298</v>
      </c>
      <c r="D3" s="187"/>
      <c r="E3" s="187"/>
      <c r="F3" s="187" t="s">
        <v>299</v>
      </c>
      <c r="G3" s="187"/>
      <c r="H3" s="187"/>
      <c r="I3" s="187" t="s">
        <v>300</v>
      </c>
      <c r="J3" s="187"/>
      <c r="K3" s="187"/>
      <c r="L3" s="187" t="s">
        <v>301</v>
      </c>
      <c r="M3" s="187"/>
      <c r="N3" s="187"/>
      <c r="O3" s="187" t="s">
        <v>302</v>
      </c>
      <c r="P3" s="187"/>
      <c r="Q3" s="187"/>
      <c r="R3" s="187"/>
      <c r="S3" s="187"/>
      <c r="T3" s="187"/>
      <c r="U3" s="187" t="s">
        <v>303</v>
      </c>
      <c r="V3" s="187"/>
      <c r="W3" s="187"/>
      <c r="X3" s="187" t="s">
        <v>304</v>
      </c>
      <c r="Y3" s="187"/>
      <c r="Z3" s="187"/>
    </row>
    <row r="4" spans="2:26" ht="30" x14ac:dyDescent="0.35">
      <c r="B4" s="187"/>
      <c r="C4" s="6" t="s">
        <v>305</v>
      </c>
      <c r="D4" s="6" t="s">
        <v>306</v>
      </c>
      <c r="E4" s="6" t="s">
        <v>27</v>
      </c>
      <c r="F4" s="6" t="s">
        <v>305</v>
      </c>
      <c r="G4" s="6" t="s">
        <v>306</v>
      </c>
      <c r="H4" s="6" t="s">
        <v>307</v>
      </c>
      <c r="I4" s="6" t="s">
        <v>305</v>
      </c>
      <c r="J4" s="6" t="s">
        <v>306</v>
      </c>
      <c r="K4" s="6" t="s">
        <v>307</v>
      </c>
      <c r="L4" s="6" t="s">
        <v>308</v>
      </c>
      <c r="M4" s="6" t="s">
        <v>309</v>
      </c>
      <c r="N4" s="6" t="s">
        <v>27</v>
      </c>
      <c r="O4" s="96" t="s">
        <v>310</v>
      </c>
      <c r="P4" s="96" t="s">
        <v>311</v>
      </c>
      <c r="Q4" s="96" t="s">
        <v>312</v>
      </c>
      <c r="R4" s="6" t="s">
        <v>313</v>
      </c>
      <c r="S4" s="96" t="s">
        <v>314</v>
      </c>
      <c r="T4" s="6" t="s">
        <v>315</v>
      </c>
      <c r="U4" s="6" t="s">
        <v>308</v>
      </c>
      <c r="V4" s="6" t="s">
        <v>309</v>
      </c>
      <c r="W4" s="6" t="s">
        <v>307</v>
      </c>
      <c r="X4" s="6" t="s">
        <v>308</v>
      </c>
      <c r="Y4" s="6" t="s">
        <v>309</v>
      </c>
      <c r="Z4" s="6" t="s">
        <v>307</v>
      </c>
    </row>
    <row r="5" spans="2:26" x14ac:dyDescent="0.35">
      <c r="B5" s="7" t="s">
        <v>43</v>
      </c>
      <c r="C5" s="97">
        <v>278</v>
      </c>
      <c r="D5" s="97">
        <v>181</v>
      </c>
      <c r="E5" s="98">
        <f>SUM(C5:D5)</f>
        <v>459</v>
      </c>
      <c r="F5" s="97">
        <v>9483.0120000000006</v>
      </c>
      <c r="G5" s="97">
        <v>9071.6550000000007</v>
      </c>
      <c r="H5" s="97">
        <f>SUMPRODUCT(C5:D5,F5:G5)/E5</f>
        <v>9320.799326797387</v>
      </c>
      <c r="I5" s="97">
        <v>33725</v>
      </c>
      <c r="J5" s="97">
        <v>45809</v>
      </c>
      <c r="K5" s="97">
        <f>SUMPRODUCT(C5:D5,I5:J5)/E5</f>
        <v>38490.150326797382</v>
      </c>
      <c r="L5" s="97">
        <v>44668</v>
      </c>
      <c r="M5" s="97">
        <v>0</v>
      </c>
      <c r="N5" s="98">
        <f>SUM(L5:M5)</f>
        <v>44668</v>
      </c>
      <c r="O5" s="97">
        <v>3352</v>
      </c>
      <c r="P5" s="97">
        <v>0</v>
      </c>
      <c r="Q5" s="97">
        <f>SUMPRODUCT(L5:M5,O5:P5)/N5</f>
        <v>3352</v>
      </c>
      <c r="R5" s="97">
        <v>3143.6849999999999</v>
      </c>
      <c r="S5" s="97">
        <f>MIN(Q5-R5,150)</f>
        <v>150</v>
      </c>
      <c r="T5" s="97">
        <f>Q5-S5</f>
        <v>3202</v>
      </c>
      <c r="U5" s="97">
        <v>3510.4224195109018</v>
      </c>
      <c r="V5" s="97">
        <v>0</v>
      </c>
      <c r="W5" s="97">
        <f>SUMPRODUCT(L5:M5,U5:V5)/N5</f>
        <v>3510.4224195109018</v>
      </c>
      <c r="X5" s="97">
        <v>3510.9469680645157</v>
      </c>
      <c r="Y5" s="97">
        <v>0</v>
      </c>
      <c r="Z5" s="97">
        <f>SUMPRODUCT(L5:M5,X5:Y5)/N5</f>
        <v>3510.9469680645152</v>
      </c>
    </row>
    <row r="6" spans="2:26" x14ac:dyDescent="0.35">
      <c r="B6" s="7" t="s">
        <v>150</v>
      </c>
      <c r="C6" s="97">
        <v>5845</v>
      </c>
      <c r="D6" s="97">
        <v>1204</v>
      </c>
      <c r="E6" s="98">
        <f t="shared" ref="E6:E17" si="0">SUM(C6:D6)</f>
        <v>7049</v>
      </c>
      <c r="F6" s="97">
        <v>9481.1460000000006</v>
      </c>
      <c r="G6" s="97">
        <v>9113.4519999999993</v>
      </c>
      <c r="H6" s="97">
        <f>SUMPRODUCT(C6:D6,F6:G6)/E6</f>
        <v>9418.3422581926516</v>
      </c>
      <c r="I6" s="97">
        <v>40474.99</v>
      </c>
      <c r="J6" s="97">
        <v>47334.920000000006</v>
      </c>
      <c r="K6" s="97">
        <f>SUMPRODUCT(C6:D6,I6:J6)/E6</f>
        <v>41646.696017874878</v>
      </c>
      <c r="L6" s="97">
        <v>7672837</v>
      </c>
      <c r="M6" s="97">
        <v>236234</v>
      </c>
      <c r="N6" s="98">
        <f t="shared" ref="N6:N18" si="1">SUM(L6:M6)</f>
        <v>7909071</v>
      </c>
      <c r="O6" s="97">
        <v>3194</v>
      </c>
      <c r="P6" s="97">
        <v>4715</v>
      </c>
      <c r="Q6" s="97">
        <f>SUMPRODUCT(L6:M6,O6:P6)/N6</f>
        <v>3239.4303563591729</v>
      </c>
      <c r="R6" s="97">
        <v>3111</v>
      </c>
      <c r="S6" s="97">
        <f t="shared" ref="S6:S17" si="2">MIN(Q6-R6,150)</f>
        <v>128.43035635917295</v>
      </c>
      <c r="T6" s="97">
        <f t="shared" ref="T6:T17" si="3">Q6-S6</f>
        <v>3111</v>
      </c>
      <c r="U6" s="97">
        <v>2888.5104640818486</v>
      </c>
      <c r="V6" s="97">
        <v>6118.23</v>
      </c>
      <c r="W6" s="97">
        <f>SUMPRODUCT(L6:M6,U6:V6)/N6</f>
        <v>2984.9781231593925</v>
      </c>
      <c r="X6" s="97">
        <v>2901.9085129598047</v>
      </c>
      <c r="Y6" s="97">
        <v>6118.23</v>
      </c>
      <c r="Z6" s="97">
        <f>SUMPRODUCT(L6:M6,X6:Y6)/N6</f>
        <v>2997.9759891740723</v>
      </c>
    </row>
    <row r="7" spans="2:26" x14ac:dyDescent="0.35">
      <c r="B7" s="7" t="s">
        <v>151</v>
      </c>
      <c r="C7" s="97">
        <v>5845</v>
      </c>
      <c r="D7" s="97">
        <v>1204</v>
      </c>
      <c r="E7" s="98">
        <f t="shared" si="0"/>
        <v>7049</v>
      </c>
      <c r="F7" s="97">
        <v>9582.5817599999991</v>
      </c>
      <c r="G7" s="97">
        <v>9195.2632300000005</v>
      </c>
      <c r="H7" s="97">
        <f>SUMPRODUCT(C7:D7,F7:G7)/E7</f>
        <v>9516.4260627209533</v>
      </c>
      <c r="I7" s="97">
        <v>41713.170000000006</v>
      </c>
      <c r="J7" s="97">
        <v>48270.84</v>
      </c>
      <c r="K7" s="97">
        <f>SUMPRODUCT(C7:D7,I7:J7)/E7</f>
        <v>42833.24868917578</v>
      </c>
      <c r="L7" s="97">
        <v>3312167</v>
      </c>
      <c r="M7" s="97">
        <v>166452</v>
      </c>
      <c r="N7" s="98">
        <f t="shared" si="1"/>
        <v>3478619</v>
      </c>
      <c r="O7" s="97">
        <v>2958.71</v>
      </c>
      <c r="P7" s="97">
        <v>4807.18</v>
      </c>
      <c r="Q7" s="97">
        <f>SUMPRODUCT(L7:M7,O7:P7)/N7</f>
        <v>3047.1593324621062</v>
      </c>
      <c r="R7" s="97">
        <v>2965.69</v>
      </c>
      <c r="S7" s="97">
        <f t="shared" si="2"/>
        <v>81.469332462106195</v>
      </c>
      <c r="T7" s="97">
        <f t="shared" si="3"/>
        <v>2965.69</v>
      </c>
      <c r="U7" s="97">
        <v>2809.7805377437862</v>
      </c>
      <c r="V7" s="97">
        <v>6567</v>
      </c>
      <c r="W7" s="97">
        <f>SUMPRODUCT(L7:M7,U7:V7)/N7</f>
        <v>2989.5635763379732</v>
      </c>
      <c r="X7" s="97">
        <v>2807.0711377081825</v>
      </c>
      <c r="Y7" s="97">
        <v>6567</v>
      </c>
      <c r="Z7" s="97">
        <f>SUMPRODUCT(L7:M7,X7:Y7)/N7</f>
        <v>2986.9838211570445</v>
      </c>
    </row>
    <row r="8" spans="2:26" x14ac:dyDescent="0.35">
      <c r="B8" s="7" t="s">
        <v>44</v>
      </c>
      <c r="C8" s="97">
        <v>5508.21</v>
      </c>
      <c r="D8" s="97">
        <v>579.88</v>
      </c>
      <c r="E8" s="98">
        <f t="shared" si="0"/>
        <v>6088.09</v>
      </c>
      <c r="F8" s="97">
        <v>9671.478000000001</v>
      </c>
      <c r="G8" s="97">
        <v>9118.57</v>
      </c>
      <c r="H8" s="97">
        <f>SUMPRODUCT(C8:D8,F8:G8)/E8</f>
        <v>9618.8144731730335</v>
      </c>
      <c r="I8" s="97">
        <v>40263.58</v>
      </c>
      <c r="J8" s="97">
        <v>50401.619999999995</v>
      </c>
      <c r="K8" s="97">
        <f>SUMPRODUCT(C8:D8,I8:J8)/E8</f>
        <v>41229.21070440812</v>
      </c>
      <c r="L8" s="97">
        <v>460262</v>
      </c>
      <c r="M8" s="97">
        <v>0</v>
      </c>
      <c r="N8" s="98">
        <f t="shared" si="1"/>
        <v>460262</v>
      </c>
      <c r="O8" s="97">
        <v>2962</v>
      </c>
      <c r="P8" s="97">
        <v>0</v>
      </c>
      <c r="Q8" s="97">
        <f>SUMPRODUCT(L8:M8,O8:P8)/N8</f>
        <v>2962</v>
      </c>
      <c r="R8" s="97">
        <v>2833.598</v>
      </c>
      <c r="S8" s="97">
        <f t="shared" si="2"/>
        <v>128.40200000000004</v>
      </c>
      <c r="T8" s="97">
        <f t="shared" si="3"/>
        <v>2833.598</v>
      </c>
      <c r="U8" s="97">
        <v>3722.1119299180777</v>
      </c>
      <c r="V8" s="97">
        <v>0</v>
      </c>
      <c r="W8" s="97">
        <f>SUMPRODUCT(L8:M8,U8:V8)/N8</f>
        <v>3722.1119299180777</v>
      </c>
      <c r="X8" s="97">
        <v>3727.491062332449</v>
      </c>
      <c r="Y8" s="97">
        <v>0</v>
      </c>
      <c r="Z8" s="97">
        <f>SUMPRODUCT(L8:M8,X8:Y8)/N8</f>
        <v>3727.491062332449</v>
      </c>
    </row>
    <row r="9" spans="2:26" x14ac:dyDescent="0.35">
      <c r="B9" s="7" t="s">
        <v>152</v>
      </c>
      <c r="C9" s="97">
        <v>7981</v>
      </c>
      <c r="D9" s="97">
        <v>1807</v>
      </c>
      <c r="E9" s="98">
        <f t="shared" si="0"/>
        <v>9788</v>
      </c>
      <c r="F9" s="97">
        <v>9632.4506099999999</v>
      </c>
      <c r="G9" s="97">
        <v>8806.5170099999996</v>
      </c>
      <c r="H9" s="97">
        <f>SUMPRODUCT(C9:D9,F9:G9)/E9</f>
        <v>9479.9718589579061</v>
      </c>
      <c r="I9" s="97">
        <v>37865.706782000001</v>
      </c>
      <c r="J9" s="97">
        <v>46609.440000000002</v>
      </c>
      <c r="K9" s="97">
        <f>SUMPRODUCT(C9:D9,I9:J9)/E9</f>
        <v>39479.920709761136</v>
      </c>
      <c r="L9" s="97">
        <v>1916267</v>
      </c>
      <c r="M9" s="97">
        <v>0</v>
      </c>
      <c r="N9" s="98">
        <f t="shared" si="1"/>
        <v>1916267</v>
      </c>
      <c r="O9" s="97">
        <v>3363.68</v>
      </c>
      <c r="P9" s="97">
        <v>0</v>
      </c>
      <c r="Q9" s="97">
        <f>SUMPRODUCT(L9:M9,O9:P9)/N9</f>
        <v>3363.68</v>
      </c>
      <c r="R9" s="97">
        <v>3305</v>
      </c>
      <c r="S9" s="97">
        <f t="shared" si="2"/>
        <v>58.679999999999836</v>
      </c>
      <c r="T9" s="97">
        <f t="shared" si="3"/>
        <v>3305</v>
      </c>
      <c r="U9" s="97">
        <v>3926.9005756173319</v>
      </c>
      <c r="V9" s="97">
        <v>0</v>
      </c>
      <c r="W9" s="97">
        <f>SUMPRODUCT(L9:M9,U9:V9)/N9</f>
        <v>3926.9005756173324</v>
      </c>
      <c r="X9" s="97">
        <v>3929.6617420133011</v>
      </c>
      <c r="Y9" s="97">
        <v>0</v>
      </c>
      <c r="Z9" s="97">
        <f>SUMPRODUCT(L9:M9,X9:Y9)/N9</f>
        <v>3929.6617420133011</v>
      </c>
    </row>
    <row r="10" spans="2:26" x14ac:dyDescent="0.35">
      <c r="B10" s="7" t="s">
        <v>154</v>
      </c>
      <c r="C10" s="97"/>
      <c r="D10" s="97"/>
      <c r="E10" s="98"/>
      <c r="F10" s="97"/>
      <c r="G10" s="97"/>
      <c r="H10" s="97"/>
      <c r="I10" s="97"/>
      <c r="J10" s="97"/>
      <c r="K10" s="97"/>
      <c r="L10" s="97"/>
      <c r="M10" s="97"/>
      <c r="N10" s="98"/>
      <c r="O10" s="97"/>
      <c r="P10" s="97"/>
      <c r="Q10" s="97">
        <v>8377.8700000000008</v>
      </c>
      <c r="R10" s="97">
        <v>8377.8700000000008</v>
      </c>
      <c r="S10" s="97">
        <f t="shared" si="2"/>
        <v>0</v>
      </c>
      <c r="T10" s="97">
        <f t="shared" si="3"/>
        <v>8377.8700000000008</v>
      </c>
      <c r="U10" s="97">
        <v>9463.178438853678</v>
      </c>
      <c r="V10" s="97"/>
      <c r="W10" s="97">
        <f>U10</f>
        <v>9463.178438853678</v>
      </c>
      <c r="X10" s="97">
        <v>9463.178438853678</v>
      </c>
      <c r="Y10" s="97"/>
      <c r="Z10" s="97">
        <f>X10</f>
        <v>9463.178438853678</v>
      </c>
    </row>
    <row r="11" spans="2:26" x14ac:dyDescent="0.35">
      <c r="B11" s="7" t="s">
        <v>155</v>
      </c>
      <c r="C11" s="97">
        <v>967.37571576139783</v>
      </c>
      <c r="D11" s="97">
        <v>419.59978423860224</v>
      </c>
      <c r="E11" s="98">
        <f t="shared" si="0"/>
        <v>1386.9755</v>
      </c>
      <c r="F11" s="97">
        <v>9632.6278800000018</v>
      </c>
      <c r="G11" s="97">
        <v>9077.2080299999998</v>
      </c>
      <c r="H11" s="97">
        <f t="shared" ref="H11:H17" si="4">SUMPRODUCT(C11:D11,F11:G11)/E11</f>
        <v>9464.5974791588633</v>
      </c>
      <c r="I11" s="97">
        <v>36093.555651476883</v>
      </c>
      <c r="J11" s="97">
        <v>46344.229999999996</v>
      </c>
      <c r="K11" s="97">
        <f t="shared" ref="K11:K17" si="5">SUMPRODUCT(C11:D11,I11:J11)/E11</f>
        <v>39194.678018051112</v>
      </c>
      <c r="L11" s="97">
        <v>2087120</v>
      </c>
      <c r="M11" s="97">
        <v>0</v>
      </c>
      <c r="N11" s="98">
        <f t="shared" si="1"/>
        <v>2087120</v>
      </c>
      <c r="O11" s="97">
        <v>3312.83</v>
      </c>
      <c r="P11" s="97">
        <v>0</v>
      </c>
      <c r="Q11" s="97">
        <f t="shared" ref="Q11:Q17" si="6">SUMPRODUCT(L11:M11,O11:P11)/N11</f>
        <v>3312.83</v>
      </c>
      <c r="R11" s="97">
        <v>3253.35</v>
      </c>
      <c r="S11" s="97">
        <f t="shared" si="2"/>
        <v>59.480000000000018</v>
      </c>
      <c r="T11" s="97">
        <f t="shared" si="3"/>
        <v>3253.35</v>
      </c>
      <c r="U11" s="97">
        <v>3461.9988345026923</v>
      </c>
      <c r="V11" s="97">
        <v>0</v>
      </c>
      <c r="W11" s="97">
        <f t="shared" ref="W11:W17" si="7">SUMPRODUCT(L11:M11,U11:V11)/N11</f>
        <v>3461.9988345026923</v>
      </c>
      <c r="X11" s="97">
        <v>3461.9988345026923</v>
      </c>
      <c r="Y11" s="97">
        <v>0</v>
      </c>
      <c r="Z11" s="97">
        <f t="shared" ref="Z11:Z17" si="8">SUMPRODUCT(L11:M11,X11:Y11)/N11</f>
        <v>3461.9988345026923</v>
      </c>
    </row>
    <row r="12" spans="2:26" x14ac:dyDescent="0.35">
      <c r="B12" s="7" t="s">
        <v>156</v>
      </c>
      <c r="C12" s="97">
        <v>2955</v>
      </c>
      <c r="D12" s="97">
        <v>634</v>
      </c>
      <c r="E12" s="98">
        <f t="shared" si="0"/>
        <v>3589</v>
      </c>
      <c r="F12" s="97">
        <v>9606.1679999999997</v>
      </c>
      <c r="G12" s="97">
        <v>8889.1129999999994</v>
      </c>
      <c r="H12" s="97">
        <f t="shared" si="4"/>
        <v>9479.4996049038709</v>
      </c>
      <c r="I12" s="97">
        <v>38166.370000000003</v>
      </c>
      <c r="J12" s="97">
        <v>46135.78</v>
      </c>
      <c r="K12" s="97">
        <f t="shared" si="5"/>
        <v>39574.173271106156</v>
      </c>
      <c r="L12" s="97">
        <v>1234665</v>
      </c>
      <c r="M12" s="97">
        <v>0</v>
      </c>
      <c r="N12" s="98">
        <f t="shared" si="1"/>
        <v>1234665</v>
      </c>
      <c r="O12" s="97">
        <v>3203</v>
      </c>
      <c r="P12" s="97">
        <v>0</v>
      </c>
      <c r="Q12" s="97">
        <f t="shared" si="6"/>
        <v>3203</v>
      </c>
      <c r="R12" s="97">
        <v>3100.15</v>
      </c>
      <c r="S12" s="97">
        <f t="shared" si="2"/>
        <v>102.84999999999991</v>
      </c>
      <c r="T12" s="97">
        <f t="shared" si="3"/>
        <v>3100.15</v>
      </c>
      <c r="U12" s="97">
        <v>4113.5864607431922</v>
      </c>
      <c r="V12" s="97">
        <v>0</v>
      </c>
      <c r="W12" s="97">
        <f t="shared" si="7"/>
        <v>4113.5864607431922</v>
      </c>
      <c r="X12" s="97">
        <v>4120.1641287139219</v>
      </c>
      <c r="Y12" s="97">
        <v>0</v>
      </c>
      <c r="Z12" s="97">
        <f t="shared" si="8"/>
        <v>4120.1641287139219</v>
      </c>
    </row>
    <row r="13" spans="2:26" x14ac:dyDescent="0.35">
      <c r="B13" s="7" t="s">
        <v>8</v>
      </c>
      <c r="C13" s="97">
        <v>1220</v>
      </c>
      <c r="D13" s="97">
        <v>257</v>
      </c>
      <c r="E13" s="98">
        <f t="shared" si="0"/>
        <v>1477</v>
      </c>
      <c r="F13" s="97">
        <v>9610.8330000000005</v>
      </c>
      <c r="G13" s="97">
        <v>9170.6029999999992</v>
      </c>
      <c r="H13" s="97">
        <f t="shared" si="4"/>
        <v>9534.2323838862558</v>
      </c>
      <c r="I13" s="97">
        <v>41713.170000000006</v>
      </c>
      <c r="J13" s="97">
        <v>48270.84</v>
      </c>
      <c r="K13" s="97">
        <f t="shared" si="5"/>
        <v>42854.21345971564</v>
      </c>
      <c r="L13" s="97">
        <v>2472777</v>
      </c>
      <c r="M13" s="97">
        <v>196453</v>
      </c>
      <c r="N13" s="98">
        <f t="shared" si="1"/>
        <v>2669230</v>
      </c>
      <c r="O13" s="97">
        <v>2864</v>
      </c>
      <c r="P13" s="97">
        <v>4736</v>
      </c>
      <c r="Q13" s="97">
        <f t="shared" si="6"/>
        <v>3001.7775673134201</v>
      </c>
      <c r="R13" s="97">
        <v>2928</v>
      </c>
      <c r="S13" s="97">
        <f t="shared" si="2"/>
        <v>73.77756731342015</v>
      </c>
      <c r="T13" s="97">
        <f t="shared" si="3"/>
        <v>2928</v>
      </c>
      <c r="U13" s="97">
        <v>2713.0409479589184</v>
      </c>
      <c r="V13" s="97">
        <v>6567</v>
      </c>
      <c r="W13" s="97">
        <f t="shared" si="7"/>
        <v>2996.6889729139152</v>
      </c>
      <c r="X13" s="97">
        <v>2705.463679685146</v>
      </c>
      <c r="Y13" s="97">
        <v>6567</v>
      </c>
      <c r="Z13" s="97">
        <f t="shared" si="8"/>
        <v>2989.6693849764902</v>
      </c>
    </row>
    <row r="14" spans="2:26" x14ac:dyDescent="0.35">
      <c r="B14" s="7" t="s">
        <v>157</v>
      </c>
      <c r="C14" s="97">
        <v>2756</v>
      </c>
      <c r="D14" s="97">
        <v>586</v>
      </c>
      <c r="E14" s="98">
        <f t="shared" si="0"/>
        <v>3342</v>
      </c>
      <c r="F14" s="97">
        <v>9493.2749999999996</v>
      </c>
      <c r="G14" s="97">
        <v>8679.2749999999996</v>
      </c>
      <c r="H14" s="97">
        <f t="shared" si="4"/>
        <v>9350.5448982645121</v>
      </c>
      <c r="I14" s="97">
        <v>33725</v>
      </c>
      <c r="J14" s="97">
        <v>45809</v>
      </c>
      <c r="K14" s="97">
        <f t="shared" si="5"/>
        <v>35843.858168761224</v>
      </c>
      <c r="L14" s="97">
        <v>3623935.15</v>
      </c>
      <c r="M14" s="97">
        <v>404460</v>
      </c>
      <c r="N14" s="98">
        <f t="shared" si="1"/>
        <v>4028395.15</v>
      </c>
      <c r="O14" s="97">
        <v>3352</v>
      </c>
      <c r="P14" s="97">
        <v>4894</v>
      </c>
      <c r="Q14" s="97">
        <f t="shared" si="6"/>
        <v>3506.8202936347989</v>
      </c>
      <c r="R14" s="97">
        <v>3095.6039999999998</v>
      </c>
      <c r="S14" s="97">
        <f t="shared" si="2"/>
        <v>150</v>
      </c>
      <c r="T14" s="97">
        <f t="shared" si="3"/>
        <v>3356.8202936347989</v>
      </c>
      <c r="U14" s="97">
        <v>3518.0579828046916</v>
      </c>
      <c r="V14" s="97">
        <v>6151.47</v>
      </c>
      <c r="W14" s="97">
        <f t="shared" si="7"/>
        <v>3782.4585157253055</v>
      </c>
      <c r="X14" s="97">
        <v>3518.5823307568653</v>
      </c>
      <c r="Y14" s="97">
        <v>6151.47</v>
      </c>
      <c r="Z14" s="97">
        <f t="shared" si="8"/>
        <v>3782.9302179550909</v>
      </c>
    </row>
    <row r="15" spans="2:26" x14ac:dyDescent="0.35">
      <c r="B15" s="7" t="s">
        <v>158</v>
      </c>
      <c r="C15" s="97">
        <v>18361</v>
      </c>
      <c r="D15" s="97">
        <v>5564</v>
      </c>
      <c r="E15" s="98">
        <f t="shared" si="0"/>
        <v>23925</v>
      </c>
      <c r="F15" s="97">
        <v>9664.014000000001</v>
      </c>
      <c r="G15" s="97">
        <v>8835.3739999999998</v>
      </c>
      <c r="H15" s="97">
        <f t="shared" si="4"/>
        <v>9471.305412330199</v>
      </c>
      <c r="I15" s="97">
        <v>40418.928063999992</v>
      </c>
      <c r="J15" s="97">
        <v>50435.43</v>
      </c>
      <c r="K15" s="97">
        <f t="shared" si="5"/>
        <v>42748.366591561295</v>
      </c>
      <c r="L15" s="97">
        <v>5614326</v>
      </c>
      <c r="M15" s="97">
        <v>1012513</v>
      </c>
      <c r="N15" s="98">
        <f t="shared" si="1"/>
        <v>6626839</v>
      </c>
      <c r="O15" s="97">
        <v>3029.71</v>
      </c>
      <c r="P15" s="97">
        <v>4886.4799999999996</v>
      </c>
      <c r="Q15" s="97">
        <f t="shared" si="6"/>
        <v>3313.4054033453958</v>
      </c>
      <c r="R15" s="97">
        <v>3061.28</v>
      </c>
      <c r="S15" s="97">
        <f t="shared" si="2"/>
        <v>150</v>
      </c>
      <c r="T15" s="97">
        <f t="shared" si="3"/>
        <v>3163.4054033453958</v>
      </c>
      <c r="U15" s="97">
        <v>3551.319441991749</v>
      </c>
      <c r="V15" s="97">
        <v>6773.09</v>
      </c>
      <c r="W15" s="97">
        <f t="shared" si="7"/>
        <v>4043.5729240818682</v>
      </c>
      <c r="X15" s="97">
        <v>3555.4490126753963</v>
      </c>
      <c r="Y15" s="97">
        <v>6773.09</v>
      </c>
      <c r="Z15" s="97">
        <f t="shared" si="8"/>
        <v>4047.0715387393311</v>
      </c>
    </row>
    <row r="16" spans="2:26" x14ac:dyDescent="0.35">
      <c r="B16" s="7" t="s">
        <v>159</v>
      </c>
      <c r="C16" s="97">
        <v>16905</v>
      </c>
      <c r="D16" s="97">
        <v>229</v>
      </c>
      <c r="E16" s="98">
        <f t="shared" si="0"/>
        <v>17134</v>
      </c>
      <c r="F16" s="97">
        <v>9480.2129999999997</v>
      </c>
      <c r="G16" s="97">
        <v>9091.2739999999994</v>
      </c>
      <c r="H16" s="97">
        <f t="shared" si="4"/>
        <v>9475.0147374226672</v>
      </c>
      <c r="I16" s="97">
        <v>40443.327870000001</v>
      </c>
      <c r="J16" s="97">
        <v>47347.06</v>
      </c>
      <c r="K16" s="97">
        <f t="shared" si="5"/>
        <v>40535.59789788432</v>
      </c>
      <c r="L16" s="97">
        <v>4007920</v>
      </c>
      <c r="M16" s="97">
        <v>715331</v>
      </c>
      <c r="N16" s="98">
        <f t="shared" si="1"/>
        <v>4723251</v>
      </c>
      <c r="O16" s="97">
        <v>3136</v>
      </c>
      <c r="P16" s="97">
        <v>4778</v>
      </c>
      <c r="Q16" s="97">
        <f t="shared" si="6"/>
        <v>3384.6790352661756</v>
      </c>
      <c r="R16" s="97">
        <v>3259.28</v>
      </c>
      <c r="S16" s="97">
        <f t="shared" si="2"/>
        <v>125.39903526617536</v>
      </c>
      <c r="T16" s="97">
        <f t="shared" si="3"/>
        <v>3259.28</v>
      </c>
      <c r="U16" s="97">
        <v>3686.5083554528765</v>
      </c>
      <c r="V16" s="97">
        <v>6764.31</v>
      </c>
      <c r="W16" s="97">
        <f t="shared" si="7"/>
        <v>4152.6379192206159</v>
      </c>
      <c r="X16" s="97">
        <v>3662.4963784977449</v>
      </c>
      <c r="Y16" s="97">
        <v>6764.31</v>
      </c>
      <c r="Z16" s="97">
        <f t="shared" si="8"/>
        <v>4132.262528906188</v>
      </c>
    </row>
    <row r="17" spans="2:36" x14ac:dyDescent="0.35">
      <c r="B17" s="7" t="s">
        <v>160</v>
      </c>
      <c r="C17" s="97">
        <v>866</v>
      </c>
      <c r="D17" s="97">
        <v>866</v>
      </c>
      <c r="E17" s="98">
        <f t="shared" si="0"/>
        <v>1732</v>
      </c>
      <c r="F17" s="97">
        <v>9606.1679999999997</v>
      </c>
      <c r="G17" s="97">
        <v>8782.4879999999994</v>
      </c>
      <c r="H17" s="97">
        <f t="shared" si="4"/>
        <v>9194.3279999999995</v>
      </c>
      <c r="I17" s="97">
        <v>38024.287321016171</v>
      </c>
      <c r="J17" s="97">
        <v>46135.78</v>
      </c>
      <c r="K17" s="97">
        <f t="shared" si="5"/>
        <v>42080.033660508081</v>
      </c>
      <c r="L17" s="97">
        <v>658262</v>
      </c>
      <c r="M17" s="97">
        <v>0</v>
      </c>
      <c r="N17" s="98">
        <f t="shared" si="1"/>
        <v>658262</v>
      </c>
      <c r="O17" s="97">
        <v>3203</v>
      </c>
      <c r="P17" s="97">
        <v>0</v>
      </c>
      <c r="Q17" s="97">
        <f t="shared" si="6"/>
        <v>3203</v>
      </c>
      <c r="R17" s="97">
        <v>3120.22</v>
      </c>
      <c r="S17" s="97">
        <f t="shared" si="2"/>
        <v>82.7800000000002</v>
      </c>
      <c r="T17" s="97">
        <f t="shared" si="3"/>
        <v>3120.22</v>
      </c>
      <c r="U17" s="97">
        <v>4111.5385564937214</v>
      </c>
      <c r="V17" s="97">
        <v>0</v>
      </c>
      <c r="W17" s="97">
        <f t="shared" si="7"/>
        <v>4111.5385564937214</v>
      </c>
      <c r="X17" s="97">
        <v>4118.1164051003261</v>
      </c>
      <c r="Y17" s="97">
        <v>0</v>
      </c>
      <c r="Z17" s="97">
        <f t="shared" si="8"/>
        <v>4118.1164051003261</v>
      </c>
    </row>
    <row r="18" spans="2:36" x14ac:dyDescent="0.35">
      <c r="B18" s="12" t="s">
        <v>27</v>
      </c>
      <c r="C18" s="98">
        <f>SUM(C5:C17)</f>
        <v>69487.585715761394</v>
      </c>
      <c r="D18" s="98">
        <f>SUM(D5:D17)</f>
        <v>13531.479784238603</v>
      </c>
      <c r="E18" s="98">
        <f t="shared" ref="E18" si="9">SUM(C18:D18)</f>
        <v>83019.065499999997</v>
      </c>
      <c r="F18" s="97"/>
      <c r="G18" s="97"/>
      <c r="H18" s="97"/>
      <c r="I18" s="97"/>
      <c r="J18" s="97"/>
      <c r="K18" s="97"/>
      <c r="L18" s="98">
        <f>SUM(L5:L17)</f>
        <v>33105206.149999999</v>
      </c>
      <c r="M18" s="98">
        <f>SUM(M5:M17)</f>
        <v>2731443</v>
      </c>
      <c r="N18" s="98">
        <f t="shared" si="1"/>
        <v>35836649.149999999</v>
      </c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</row>
    <row r="20" spans="2:36" x14ac:dyDescent="0.35">
      <c r="B20" s="3" t="s">
        <v>316</v>
      </c>
    </row>
    <row r="21" spans="2:36" x14ac:dyDescent="0.35">
      <c r="B21" s="187" t="s">
        <v>170</v>
      </c>
      <c r="C21" s="187" t="s">
        <v>298</v>
      </c>
      <c r="D21" s="187"/>
      <c r="E21" s="187"/>
      <c r="F21" s="187" t="s">
        <v>299</v>
      </c>
      <c r="G21" s="187"/>
      <c r="H21" s="187"/>
      <c r="I21" s="187" t="s">
        <v>317</v>
      </c>
      <c r="J21" s="187"/>
      <c r="K21" s="187"/>
      <c r="L21" s="187" t="s">
        <v>301</v>
      </c>
      <c r="M21" s="187"/>
      <c r="N21" s="187"/>
      <c r="O21" s="152" t="s">
        <v>302</v>
      </c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53"/>
      <c r="AA21" s="187" t="s">
        <v>303</v>
      </c>
      <c r="AB21" s="187"/>
      <c r="AC21" s="187"/>
      <c r="AD21" s="187" t="s">
        <v>304</v>
      </c>
      <c r="AE21" s="187"/>
      <c r="AF21" s="187"/>
    </row>
    <row r="22" spans="2:36" ht="30" x14ac:dyDescent="0.35">
      <c r="B22" s="187"/>
      <c r="C22" s="6" t="s">
        <v>305</v>
      </c>
      <c r="D22" s="6" t="s">
        <v>306</v>
      </c>
      <c r="E22" s="6" t="s">
        <v>27</v>
      </c>
      <c r="F22" s="6" t="s">
        <v>305</v>
      </c>
      <c r="G22" s="6" t="s">
        <v>306</v>
      </c>
      <c r="H22" s="6" t="s">
        <v>307</v>
      </c>
      <c r="I22" s="6" t="s">
        <v>305</v>
      </c>
      <c r="J22" s="6" t="s">
        <v>306</v>
      </c>
      <c r="K22" s="6" t="s">
        <v>307</v>
      </c>
      <c r="L22" s="6" t="s">
        <v>308</v>
      </c>
      <c r="M22" s="6" t="s">
        <v>309</v>
      </c>
      <c r="N22" s="6" t="s">
        <v>27</v>
      </c>
      <c r="O22" s="96" t="s">
        <v>318</v>
      </c>
      <c r="P22" s="96" t="s">
        <v>319</v>
      </c>
      <c r="Q22" s="96" t="s">
        <v>320</v>
      </c>
      <c r="R22" s="96" t="s">
        <v>310</v>
      </c>
      <c r="S22" s="96" t="s">
        <v>311</v>
      </c>
      <c r="T22" s="96" t="s">
        <v>321</v>
      </c>
      <c r="U22" s="96" t="s">
        <v>310</v>
      </c>
      <c r="V22" s="96" t="s">
        <v>311</v>
      </c>
      <c r="W22" s="96" t="s">
        <v>312</v>
      </c>
      <c r="X22" s="6" t="s">
        <v>313</v>
      </c>
      <c r="Y22" s="96" t="s">
        <v>322</v>
      </c>
      <c r="Z22" s="6" t="s">
        <v>315</v>
      </c>
      <c r="AA22" s="6" t="s">
        <v>308</v>
      </c>
      <c r="AB22" s="6" t="s">
        <v>309</v>
      </c>
      <c r="AC22" s="6" t="s">
        <v>307</v>
      </c>
      <c r="AD22" s="6" t="s">
        <v>308</v>
      </c>
      <c r="AE22" s="6" t="s">
        <v>309</v>
      </c>
      <c r="AF22" s="6" t="s">
        <v>307</v>
      </c>
    </row>
    <row r="23" spans="2:36" x14ac:dyDescent="0.35">
      <c r="B23" s="7" t="s">
        <v>43</v>
      </c>
      <c r="C23" s="97">
        <v>225</v>
      </c>
      <c r="D23" s="97">
        <v>242</v>
      </c>
      <c r="E23" s="98">
        <f>SUM(C23:D23)</f>
        <v>467</v>
      </c>
      <c r="F23" s="97">
        <v>9474.6149999999998</v>
      </c>
      <c r="G23" s="97">
        <v>9098.098</v>
      </c>
      <c r="H23" s="97">
        <f>SUMPRODUCT(C23:D23,F23:G23)/E23</f>
        <v>9279.5034068522491</v>
      </c>
      <c r="I23" s="97">
        <v>33755.445099999997</v>
      </c>
      <c r="J23" s="97">
        <v>46194.386693801687</v>
      </c>
      <c r="K23" s="97">
        <f>SUMPRODUCT(C23:D23,I23:J23)/E23</f>
        <v>40201.320615417571</v>
      </c>
      <c r="L23" s="97">
        <v>193054</v>
      </c>
      <c r="M23" s="97">
        <v>0</v>
      </c>
      <c r="N23" s="98">
        <f>SUM(L23:M23)</f>
        <v>193054</v>
      </c>
      <c r="O23" s="97">
        <v>4168.7593544877282</v>
      </c>
      <c r="P23" s="97">
        <v>0</v>
      </c>
      <c r="Q23" s="97">
        <f>SUMPRODUCT(L23:M23,O23:P23)/N23</f>
        <v>4168.7593544877282</v>
      </c>
      <c r="R23" s="97">
        <v>3577.392289310148</v>
      </c>
      <c r="S23" s="97">
        <v>0</v>
      </c>
      <c r="T23" s="97">
        <v>650</v>
      </c>
      <c r="U23" s="97">
        <f t="shared" ref="U23:U34" si="10">MAX(O23-T23,R23)</f>
        <v>3577.392289310148</v>
      </c>
      <c r="V23" s="97">
        <f t="shared" ref="V23:V34" si="11">MAX(P23-T23,S23)</f>
        <v>0</v>
      </c>
      <c r="W23" s="97">
        <f t="shared" ref="W23:W34" si="12">SUMPRODUCT(L23:M23,U23:V23)/N23</f>
        <v>3577.392289310148</v>
      </c>
      <c r="X23" s="97">
        <v>3274.9259999999999</v>
      </c>
      <c r="Y23" s="97">
        <f t="shared" ref="Y23:Y34" si="13">MIN(W23-X23,120)</f>
        <v>120</v>
      </c>
      <c r="Z23" s="97">
        <f t="shared" ref="Z23:Z34" si="14">W23-Y23</f>
        <v>3457.392289310148</v>
      </c>
      <c r="AA23" s="97">
        <v>3754.7708157418747</v>
      </c>
      <c r="AB23" s="97">
        <v>0</v>
      </c>
      <c r="AC23" s="97">
        <f>SUMPRODUCT(L23:M23,AA23:AB23)/N23</f>
        <v>3754.7708157418747</v>
      </c>
      <c r="AD23" s="97">
        <v>3755.7419046116161</v>
      </c>
      <c r="AE23" s="97">
        <v>0</v>
      </c>
      <c r="AF23" s="97">
        <f>SUMPRODUCT(L23:M23,AD23:AE23)/N23</f>
        <v>3755.7419046116161</v>
      </c>
      <c r="AH23" s="91">
        <f>O23-R23</f>
        <v>591.36706517758012</v>
      </c>
      <c r="AI23" s="91"/>
      <c r="AJ23" s="91"/>
    </row>
    <row r="24" spans="2:36" x14ac:dyDescent="0.35">
      <c r="B24" s="7" t="s">
        <v>150</v>
      </c>
      <c r="C24" s="97">
        <v>5745.8</v>
      </c>
      <c r="D24" s="97">
        <v>729</v>
      </c>
      <c r="E24" s="98">
        <f t="shared" ref="E24:E27" si="15">SUM(C24:D24)</f>
        <v>6474.8</v>
      </c>
      <c r="F24" s="97">
        <v>9566.0490000000009</v>
      </c>
      <c r="G24" s="97">
        <v>9130.5120000000006</v>
      </c>
      <c r="H24" s="97">
        <f>SUMPRODUCT(C24:D24,F24:G24)/E24</f>
        <v>9517.0117366096256</v>
      </c>
      <c r="I24" s="97">
        <v>33588.964499258327</v>
      </c>
      <c r="J24" s="97">
        <v>43989.707687045222</v>
      </c>
      <c r="K24" s="97">
        <f>SUMPRODUCT(C24:D24,I24:J24)/E24</f>
        <v>34759.987817954912</v>
      </c>
      <c r="L24" s="97">
        <v>7690308</v>
      </c>
      <c r="M24" s="97">
        <v>0</v>
      </c>
      <c r="N24" s="98">
        <f t="shared" ref="N24:N27" si="16">SUM(L24:M24)</f>
        <v>7690308</v>
      </c>
      <c r="O24" s="97">
        <v>4012</v>
      </c>
      <c r="P24" s="97">
        <v>0</v>
      </c>
      <c r="Q24" s="97">
        <f>SUMPRODUCT(L24:M24,O24:P24)/N24</f>
        <v>4012</v>
      </c>
      <c r="R24" s="97">
        <v>3093</v>
      </c>
      <c r="S24" s="97">
        <v>0</v>
      </c>
      <c r="T24" s="97">
        <v>650</v>
      </c>
      <c r="U24" s="97">
        <f t="shared" si="10"/>
        <v>3362</v>
      </c>
      <c r="V24" s="97">
        <f t="shared" si="11"/>
        <v>0</v>
      </c>
      <c r="W24" s="97">
        <f t="shared" si="12"/>
        <v>3362</v>
      </c>
      <c r="X24" s="97">
        <v>3094</v>
      </c>
      <c r="Y24" s="97">
        <f t="shared" si="13"/>
        <v>120</v>
      </c>
      <c r="Z24" s="97">
        <f t="shared" si="14"/>
        <v>3242</v>
      </c>
      <c r="AA24" s="97">
        <v>3262.1199903880074</v>
      </c>
      <c r="AB24" s="97">
        <v>0</v>
      </c>
      <c r="AC24" s="97">
        <f>SUMPRODUCT(L24:M24,AA24:AB24)/N24</f>
        <v>3262.1199903880074</v>
      </c>
      <c r="AD24" s="97">
        <v>3273.8920294378026</v>
      </c>
      <c r="AE24" s="97">
        <v>0</v>
      </c>
      <c r="AF24" s="97">
        <f>SUMPRODUCT(L24:M24,AD24:AE24)/N24</f>
        <v>3273.8920294378026</v>
      </c>
      <c r="AH24" s="91">
        <f t="shared" ref="AH24:AH35" si="17">O24-R24</f>
        <v>919</v>
      </c>
      <c r="AI24" s="91"/>
      <c r="AJ24" s="91"/>
    </row>
    <row r="25" spans="2:36" x14ac:dyDescent="0.35">
      <c r="B25" s="7" t="s">
        <v>151</v>
      </c>
      <c r="C25" s="97">
        <v>5745.8</v>
      </c>
      <c r="D25" s="97">
        <v>729</v>
      </c>
      <c r="E25" s="98">
        <f t="shared" si="15"/>
        <v>6474.8</v>
      </c>
      <c r="F25" s="97">
        <v>9734.9220000000005</v>
      </c>
      <c r="G25" s="97">
        <v>9162.0730000000003</v>
      </c>
      <c r="H25" s="97">
        <f>SUMPRODUCT(C25:D25,F25:G25)/E25</f>
        <v>9670.4247304318287</v>
      </c>
      <c r="I25" s="97">
        <v>40127.728211831833</v>
      </c>
      <c r="J25" s="97">
        <v>47128.172868657726</v>
      </c>
      <c r="K25" s="97">
        <f>SUMPRODUCT(C25:D25,I25:J25)/E25</f>
        <v>40915.910727867245</v>
      </c>
      <c r="L25" s="97">
        <v>4423322.4369999999</v>
      </c>
      <c r="M25" s="97">
        <v>0</v>
      </c>
      <c r="N25" s="98">
        <f t="shared" si="16"/>
        <v>4423322.4369999999</v>
      </c>
      <c r="O25" s="97">
        <v>3717.17</v>
      </c>
      <c r="P25" s="97">
        <v>0</v>
      </c>
      <c r="Q25" s="97">
        <f>SUMPRODUCT(L25:M25,O25:P25)/N25</f>
        <v>3717.17</v>
      </c>
      <c r="R25" s="97">
        <v>3007.56</v>
      </c>
      <c r="S25" s="97">
        <v>0</v>
      </c>
      <c r="T25" s="97">
        <v>650</v>
      </c>
      <c r="U25" s="97">
        <f t="shared" si="10"/>
        <v>3067.17</v>
      </c>
      <c r="V25" s="97">
        <f t="shared" si="11"/>
        <v>0</v>
      </c>
      <c r="W25" s="97">
        <f t="shared" si="12"/>
        <v>3067.17</v>
      </c>
      <c r="X25" s="97">
        <v>2919.89</v>
      </c>
      <c r="Y25" s="97">
        <f t="shared" si="13"/>
        <v>120</v>
      </c>
      <c r="Z25" s="97">
        <f t="shared" si="14"/>
        <v>2947.17</v>
      </c>
      <c r="AA25" s="97">
        <v>3005.4464118127594</v>
      </c>
      <c r="AB25" s="97">
        <v>0</v>
      </c>
      <c r="AC25" s="97">
        <f>SUMPRODUCT(L25:M25,AA25:AB25)/N25</f>
        <v>3005.4464118127594</v>
      </c>
      <c r="AD25" s="97">
        <v>2995.8523126744685</v>
      </c>
      <c r="AE25" s="97">
        <v>0</v>
      </c>
      <c r="AF25" s="97">
        <f>SUMPRODUCT(L25:M25,AD25:AE25)/N25</f>
        <v>2995.8523126744685</v>
      </c>
      <c r="AH25" s="91">
        <f t="shared" si="17"/>
        <v>709.61000000000013</v>
      </c>
      <c r="AI25" s="91"/>
      <c r="AJ25" s="91"/>
    </row>
    <row r="26" spans="2:36" x14ac:dyDescent="0.35">
      <c r="B26" s="7" t="s">
        <v>44</v>
      </c>
      <c r="C26" s="97">
        <v>3573.05</v>
      </c>
      <c r="D26" s="97">
        <v>655.29</v>
      </c>
      <c r="E26" s="98">
        <f t="shared" si="15"/>
        <v>4228.34</v>
      </c>
      <c r="F26" s="97">
        <v>9591.24</v>
      </c>
      <c r="G26" s="97">
        <v>9108.3339999999989</v>
      </c>
      <c r="H26" s="97">
        <f>SUMPRODUCT(C26:D26,F26:G26)/E26</f>
        <v>9516.4012990582578</v>
      </c>
      <c r="I26" s="97">
        <v>33873.023281862814</v>
      </c>
      <c r="J26" s="97">
        <v>43229.90960806104</v>
      </c>
      <c r="K26" s="97">
        <f>SUMPRODUCT(C26:D26,I26:J26)/E26</f>
        <v>35323.113397769863</v>
      </c>
      <c r="L26" s="97">
        <v>457841</v>
      </c>
      <c r="M26" s="97">
        <v>0</v>
      </c>
      <c r="N26" s="98">
        <f t="shared" si="16"/>
        <v>457841</v>
      </c>
      <c r="O26" s="97">
        <v>3982</v>
      </c>
      <c r="P26" s="97">
        <v>0</v>
      </c>
      <c r="Q26" s="97">
        <f>SUMPRODUCT(L26:M26,O26:P26)/N26</f>
        <v>3982</v>
      </c>
      <c r="R26" s="97">
        <v>3061.1487546923231</v>
      </c>
      <c r="S26" s="97">
        <v>0</v>
      </c>
      <c r="T26" s="97">
        <v>650</v>
      </c>
      <c r="U26" s="97">
        <f t="shared" si="10"/>
        <v>3332</v>
      </c>
      <c r="V26" s="97">
        <f t="shared" si="11"/>
        <v>0</v>
      </c>
      <c r="W26" s="97">
        <f t="shared" si="12"/>
        <v>3332</v>
      </c>
      <c r="X26" s="97">
        <v>2926.9344829471365</v>
      </c>
      <c r="Y26" s="97">
        <f t="shared" si="13"/>
        <v>120</v>
      </c>
      <c r="Z26" s="97">
        <f t="shared" si="14"/>
        <v>3212</v>
      </c>
      <c r="AA26" s="97">
        <v>3294.4790587832558</v>
      </c>
      <c r="AB26" s="97">
        <v>0</v>
      </c>
      <c r="AC26" s="97">
        <f>SUMPRODUCT(L26:M26,AA26:AB26)/N26</f>
        <v>3294.4790587832558</v>
      </c>
      <c r="AD26" s="97">
        <v>3296.0424729825731</v>
      </c>
      <c r="AE26" s="97">
        <v>0</v>
      </c>
      <c r="AF26" s="97">
        <f>SUMPRODUCT(L26:M26,AD26:AE26)/N26</f>
        <v>3296.0424729825731</v>
      </c>
      <c r="AH26" s="91">
        <f t="shared" si="17"/>
        <v>920.85124530767689</v>
      </c>
      <c r="AI26" s="91"/>
      <c r="AJ26" s="91"/>
    </row>
    <row r="27" spans="2:36" x14ac:dyDescent="0.35">
      <c r="B27" s="7" t="s">
        <v>152</v>
      </c>
      <c r="C27" s="97">
        <v>444.26</v>
      </c>
      <c r="D27" s="97">
        <v>333.74</v>
      </c>
      <c r="E27" s="98">
        <f t="shared" si="15"/>
        <v>778</v>
      </c>
      <c r="F27" s="97">
        <v>9929.9277777777788</v>
      </c>
      <c r="G27" s="97">
        <v>9418.1279999999988</v>
      </c>
      <c r="H27" s="97">
        <f>SUMPRODUCT(C27:D27,F27:G27)/E27</f>
        <v>9710.3801455984012</v>
      </c>
      <c r="I27" s="97">
        <v>38180.698499999999</v>
      </c>
      <c r="J27" s="97">
        <v>47656.812000000005</v>
      </c>
      <c r="K27" s="97">
        <f>SUMPRODUCT(C27:D27,I27:J27)/E27</f>
        <v>42245.6832294216</v>
      </c>
      <c r="L27" s="97">
        <v>643532</v>
      </c>
      <c r="M27" s="97">
        <v>0</v>
      </c>
      <c r="N27" s="98">
        <f t="shared" si="16"/>
        <v>643532</v>
      </c>
      <c r="O27" s="97">
        <v>4156</v>
      </c>
      <c r="P27" s="97">
        <v>0</v>
      </c>
      <c r="Q27" s="97">
        <f>SUMPRODUCT(L27:M27,O27:P27)/N27</f>
        <v>4156</v>
      </c>
      <c r="R27" s="97">
        <v>3316</v>
      </c>
      <c r="S27" s="97">
        <v>0</v>
      </c>
      <c r="T27" s="97">
        <v>650</v>
      </c>
      <c r="U27" s="97">
        <f t="shared" si="10"/>
        <v>3506</v>
      </c>
      <c r="V27" s="97">
        <f t="shared" si="11"/>
        <v>0</v>
      </c>
      <c r="W27" s="97">
        <f t="shared" si="12"/>
        <v>3506</v>
      </c>
      <c r="X27" s="97">
        <v>3239.5693049035726</v>
      </c>
      <c r="Y27" s="97">
        <f t="shared" si="13"/>
        <v>120</v>
      </c>
      <c r="Z27" s="97">
        <f t="shared" si="14"/>
        <v>3386</v>
      </c>
      <c r="AA27" s="97">
        <v>4040.17</v>
      </c>
      <c r="AB27" s="97">
        <v>0</v>
      </c>
      <c r="AC27" s="97">
        <f>SUMPRODUCT(L27:M27,AA27:AB27)/N27</f>
        <v>4040.17</v>
      </c>
      <c r="AD27" s="97">
        <v>4041.7960503672471</v>
      </c>
      <c r="AE27" s="97">
        <v>0</v>
      </c>
      <c r="AF27" s="97">
        <f>SUMPRODUCT(L27:M27,AD27:AE27)/N27</f>
        <v>4041.7960503672471</v>
      </c>
      <c r="AH27" s="91">
        <f t="shared" si="17"/>
        <v>840</v>
      </c>
      <c r="AI27" s="91"/>
      <c r="AJ27" s="91"/>
    </row>
    <row r="28" spans="2:36" x14ac:dyDescent="0.35">
      <c r="B28" s="7" t="s">
        <v>154</v>
      </c>
      <c r="C28" s="97"/>
      <c r="D28" s="97"/>
      <c r="E28" s="98"/>
      <c r="F28" s="97"/>
      <c r="G28" s="97"/>
      <c r="H28" s="97"/>
      <c r="I28" s="97"/>
      <c r="J28" s="97"/>
      <c r="K28" s="97"/>
      <c r="L28" s="97"/>
      <c r="M28" s="97"/>
      <c r="N28" s="98"/>
      <c r="O28" s="97"/>
      <c r="P28" s="97"/>
      <c r="Q28" s="97"/>
      <c r="R28" s="97"/>
      <c r="S28" s="97"/>
      <c r="T28" s="97"/>
      <c r="U28" s="97"/>
      <c r="V28" s="97"/>
      <c r="W28" s="97">
        <v>8556.0215442235021</v>
      </c>
      <c r="X28" s="97">
        <f>W28</f>
        <v>8556.0215442235021</v>
      </c>
      <c r="Y28" s="97">
        <v>0</v>
      </c>
      <c r="Z28" s="97">
        <f t="shared" si="14"/>
        <v>8556.0215442235021</v>
      </c>
      <c r="AA28" s="97">
        <v>6177.9138888999996</v>
      </c>
      <c r="AB28" s="97"/>
      <c r="AC28" s="97">
        <f>AA28</f>
        <v>6177.9138888999996</v>
      </c>
      <c r="AD28" s="97">
        <v>6177.9138888999996</v>
      </c>
      <c r="AE28" s="97"/>
      <c r="AF28" s="97">
        <f>AD28</f>
        <v>6177.9138888999996</v>
      </c>
      <c r="AH28" s="91"/>
      <c r="AI28" s="91"/>
      <c r="AJ28" s="91"/>
    </row>
    <row r="29" spans="2:36" x14ac:dyDescent="0.35">
      <c r="B29" s="7" t="s">
        <v>155</v>
      </c>
      <c r="C29" s="97">
        <v>3270.1269999999995</v>
      </c>
      <c r="D29" s="97">
        <v>1137.6559999999999</v>
      </c>
      <c r="E29" s="98">
        <f t="shared" ref="E29:E36" si="18">SUM(C29:D29)</f>
        <v>4407.7829999999994</v>
      </c>
      <c r="F29" s="97">
        <v>9508.5464093100018</v>
      </c>
      <c r="G29" s="97">
        <v>8976.0486650319999</v>
      </c>
      <c r="H29" s="97">
        <f t="shared" ref="H29:H35" si="19">SUMPRODUCT(C29:D29,F29:G29)/E29</f>
        <v>9371.1078707602737</v>
      </c>
      <c r="I29" s="97">
        <v>33005.468616356491</v>
      </c>
      <c r="J29" s="97">
        <v>37901.042538342008</v>
      </c>
      <c r="K29" s="97">
        <f t="shared" ref="K29:K35" si="20">SUMPRODUCT(C29:D29,I29:J29)/E29</f>
        <v>34269.024250966992</v>
      </c>
      <c r="L29" s="97">
        <v>2627329</v>
      </c>
      <c r="M29" s="97">
        <v>0</v>
      </c>
      <c r="N29" s="98">
        <f t="shared" ref="N29:N36" si="21">SUM(L29:M29)</f>
        <v>2627329</v>
      </c>
      <c r="O29" s="97">
        <v>3940</v>
      </c>
      <c r="P29" s="97">
        <v>0</v>
      </c>
      <c r="Q29" s="97">
        <f t="shared" ref="Q29:Q35" si="22">SUMPRODUCT(L29:M29,O29:P29)/N29</f>
        <v>3940</v>
      </c>
      <c r="R29" s="97">
        <v>3216</v>
      </c>
      <c r="S29" s="97">
        <v>0</v>
      </c>
      <c r="T29" s="97">
        <v>650</v>
      </c>
      <c r="U29" s="97">
        <f t="shared" si="10"/>
        <v>3290</v>
      </c>
      <c r="V29" s="97">
        <f t="shared" si="11"/>
        <v>0</v>
      </c>
      <c r="W29" s="97">
        <f t="shared" si="12"/>
        <v>3290</v>
      </c>
      <c r="X29" s="97">
        <v>3127</v>
      </c>
      <c r="Y29" s="97">
        <f t="shared" si="13"/>
        <v>120</v>
      </c>
      <c r="Z29" s="97">
        <f t="shared" si="14"/>
        <v>3170</v>
      </c>
      <c r="AA29" s="97">
        <v>3565.9307115515408</v>
      </c>
      <c r="AB29" s="97">
        <v>0</v>
      </c>
      <c r="AC29" s="97">
        <f t="shared" ref="AC29:AC35" si="23">SUMPRODUCT(L29:M29,AA29:AB29)/N29</f>
        <v>3565.9307115515412</v>
      </c>
      <c r="AD29" s="97">
        <v>3566.637547796644</v>
      </c>
      <c r="AE29" s="97">
        <v>0</v>
      </c>
      <c r="AF29" s="97">
        <f t="shared" ref="AF29:AF35" si="24">SUMPRODUCT(L29:M29,AD29:AE29)/N29</f>
        <v>3566.6375477966435</v>
      </c>
      <c r="AH29" s="91">
        <f t="shared" si="17"/>
        <v>724</v>
      </c>
      <c r="AI29" s="91"/>
      <c r="AJ29" s="91"/>
    </row>
    <row r="30" spans="2:36" x14ac:dyDescent="0.35">
      <c r="B30" s="7" t="s">
        <v>156</v>
      </c>
      <c r="C30" s="97">
        <v>1978.913</v>
      </c>
      <c r="D30" s="97">
        <v>447.505</v>
      </c>
      <c r="E30" s="98">
        <f t="shared" si="18"/>
        <v>2426.4180000000001</v>
      </c>
      <c r="F30" s="97">
        <v>9606.1679999999997</v>
      </c>
      <c r="G30" s="97">
        <v>8889.1129999999994</v>
      </c>
      <c r="H30" s="97">
        <f t="shared" si="19"/>
        <v>9473.9213311346175</v>
      </c>
      <c r="I30" s="97">
        <v>45299.8919846852</v>
      </c>
      <c r="J30" s="97">
        <v>51109.046077846819</v>
      </c>
      <c r="K30" s="97">
        <f t="shared" si="20"/>
        <v>46371.2760176343</v>
      </c>
      <c r="L30" s="97">
        <v>1044842</v>
      </c>
      <c r="M30" s="97">
        <v>0</v>
      </c>
      <c r="N30" s="98">
        <f t="shared" si="21"/>
        <v>1044842</v>
      </c>
      <c r="O30" s="97">
        <v>3926</v>
      </c>
      <c r="P30" s="97">
        <v>0</v>
      </c>
      <c r="Q30" s="97">
        <f t="shared" si="22"/>
        <v>3926</v>
      </c>
      <c r="R30" s="97">
        <v>3169</v>
      </c>
      <c r="S30" s="97">
        <v>0</v>
      </c>
      <c r="T30" s="97">
        <v>650</v>
      </c>
      <c r="U30" s="97">
        <f t="shared" si="10"/>
        <v>3276</v>
      </c>
      <c r="V30" s="97">
        <f t="shared" si="11"/>
        <v>0</v>
      </c>
      <c r="W30" s="97">
        <f t="shared" si="12"/>
        <v>3276</v>
      </c>
      <c r="X30" s="97">
        <v>3214</v>
      </c>
      <c r="Y30" s="97">
        <f t="shared" si="13"/>
        <v>62</v>
      </c>
      <c r="Z30" s="97">
        <f t="shared" si="14"/>
        <v>3214</v>
      </c>
      <c r="AA30" s="97">
        <v>4147.8718875114473</v>
      </c>
      <c r="AB30" s="97">
        <v>0</v>
      </c>
      <c r="AC30" s="97">
        <f t="shared" si="23"/>
        <v>4147.8718875114473</v>
      </c>
      <c r="AD30" s="97">
        <v>4158.2670820398662</v>
      </c>
      <c r="AE30" s="97">
        <v>0</v>
      </c>
      <c r="AF30" s="97">
        <f t="shared" si="24"/>
        <v>4158.2670820398662</v>
      </c>
      <c r="AH30" s="91">
        <f t="shared" si="17"/>
        <v>757</v>
      </c>
      <c r="AI30" s="91"/>
      <c r="AJ30" s="91"/>
    </row>
    <row r="31" spans="2:36" x14ac:dyDescent="0.35">
      <c r="B31" s="7" t="s">
        <v>8</v>
      </c>
      <c r="C31" s="97">
        <v>764.27</v>
      </c>
      <c r="D31" s="97">
        <v>643.14</v>
      </c>
      <c r="E31" s="98">
        <f t="shared" si="18"/>
        <v>1407.4099999999999</v>
      </c>
      <c r="F31" s="97">
        <v>9734.9220000000005</v>
      </c>
      <c r="G31" s="97">
        <v>9162.0730000000003</v>
      </c>
      <c r="H31" s="97">
        <f t="shared" si="19"/>
        <v>9473.148880681536</v>
      </c>
      <c r="I31" s="97">
        <v>40127.728211831833</v>
      </c>
      <c r="J31" s="97">
        <v>47128.172868657726</v>
      </c>
      <c r="K31" s="97">
        <f t="shared" si="20"/>
        <v>43326.700776039143</v>
      </c>
      <c r="L31" s="97">
        <v>2454623.56</v>
      </c>
      <c r="M31" s="97">
        <v>0</v>
      </c>
      <c r="N31" s="98">
        <f t="shared" si="21"/>
        <v>2454623.56</v>
      </c>
      <c r="O31" s="97">
        <v>3724.41</v>
      </c>
      <c r="P31" s="97">
        <v>0</v>
      </c>
      <c r="Q31" s="97">
        <f t="shared" si="22"/>
        <v>3724.41</v>
      </c>
      <c r="R31" s="97">
        <v>3007.56</v>
      </c>
      <c r="S31" s="97">
        <v>0</v>
      </c>
      <c r="T31" s="97">
        <v>650</v>
      </c>
      <c r="U31" s="97">
        <f t="shared" si="10"/>
        <v>3074.41</v>
      </c>
      <c r="V31" s="97">
        <f t="shared" si="11"/>
        <v>0</v>
      </c>
      <c r="W31" s="97">
        <f t="shared" si="12"/>
        <v>3074.41</v>
      </c>
      <c r="X31" s="97">
        <v>2919.89</v>
      </c>
      <c r="Y31" s="97">
        <f t="shared" si="13"/>
        <v>120</v>
      </c>
      <c r="Z31" s="97">
        <f t="shared" si="14"/>
        <v>2954.41</v>
      </c>
      <c r="AA31" s="97">
        <v>2995.2416820927938</v>
      </c>
      <c r="AB31" s="97">
        <v>0</v>
      </c>
      <c r="AC31" s="97">
        <f t="shared" si="23"/>
        <v>2995.2416820927938</v>
      </c>
      <c r="AD31" s="97">
        <v>2985.6475798924944</v>
      </c>
      <c r="AE31" s="97">
        <v>0</v>
      </c>
      <c r="AF31" s="97">
        <f t="shared" si="24"/>
        <v>2985.6475798924944</v>
      </c>
      <c r="AH31" s="91">
        <f t="shared" si="17"/>
        <v>716.84999999999991</v>
      </c>
      <c r="AI31" s="91"/>
      <c r="AJ31" s="91"/>
    </row>
    <row r="32" spans="2:36" x14ac:dyDescent="0.35">
      <c r="B32" s="7" t="s">
        <v>157</v>
      </c>
      <c r="C32" s="97">
        <v>1710</v>
      </c>
      <c r="D32" s="97">
        <v>546</v>
      </c>
      <c r="E32" s="98">
        <f t="shared" si="18"/>
        <v>2256</v>
      </c>
      <c r="F32" s="97">
        <v>9474.6149999999998</v>
      </c>
      <c r="G32" s="97">
        <v>9098.098</v>
      </c>
      <c r="H32" s="97">
        <f t="shared" si="19"/>
        <v>9383.4898749999993</v>
      </c>
      <c r="I32" s="97">
        <v>33755.445099999997</v>
      </c>
      <c r="J32" s="97">
        <v>46197.359600000011</v>
      </c>
      <c r="K32" s="97">
        <f t="shared" si="20"/>
        <v>36766.653130585102</v>
      </c>
      <c r="L32" s="97">
        <v>3543772</v>
      </c>
      <c r="M32" s="97">
        <v>0</v>
      </c>
      <c r="N32" s="98">
        <f t="shared" si="21"/>
        <v>3543772</v>
      </c>
      <c r="O32" s="97">
        <v>3897.9351300596845</v>
      </c>
      <c r="P32" s="97">
        <v>0</v>
      </c>
      <c r="Q32" s="97">
        <f t="shared" si="22"/>
        <v>3897.9351300596845</v>
      </c>
      <c r="R32" s="97">
        <v>3354.2895495532848</v>
      </c>
      <c r="S32" s="97">
        <v>0</v>
      </c>
      <c r="T32" s="97">
        <v>650</v>
      </c>
      <c r="U32" s="97">
        <f t="shared" si="10"/>
        <v>3354.2895495532848</v>
      </c>
      <c r="V32" s="97">
        <f t="shared" si="11"/>
        <v>0</v>
      </c>
      <c r="W32" s="97">
        <f t="shared" si="12"/>
        <v>3354.2895495532848</v>
      </c>
      <c r="X32" s="97">
        <v>3127.0419389094441</v>
      </c>
      <c r="Y32" s="97">
        <f t="shared" si="13"/>
        <v>120</v>
      </c>
      <c r="Z32" s="97">
        <f t="shared" si="14"/>
        <v>3234.2895495532848</v>
      </c>
      <c r="AA32" s="97">
        <v>3754.9656820777905</v>
      </c>
      <c r="AB32" s="97">
        <v>0</v>
      </c>
      <c r="AC32" s="97">
        <f t="shared" si="23"/>
        <v>3754.9656820777905</v>
      </c>
      <c r="AD32" s="97">
        <v>3755.9367739919353</v>
      </c>
      <c r="AE32" s="97">
        <v>0</v>
      </c>
      <c r="AF32" s="97">
        <f t="shared" si="24"/>
        <v>3755.9367739919353</v>
      </c>
      <c r="AH32" s="91">
        <f t="shared" si="17"/>
        <v>543.64558050639971</v>
      </c>
      <c r="AI32" s="91"/>
      <c r="AJ32" s="91"/>
    </row>
    <row r="33" spans="2:36" x14ac:dyDescent="0.35">
      <c r="B33" s="7" t="s">
        <v>158</v>
      </c>
      <c r="C33" s="97">
        <v>11550.526</v>
      </c>
      <c r="D33" s="97">
        <v>1787.1379999999999</v>
      </c>
      <c r="E33" s="98">
        <f t="shared" si="18"/>
        <v>13337.664000000001</v>
      </c>
      <c r="F33" s="97">
        <v>9540.4563981400261</v>
      </c>
      <c r="G33" s="97">
        <v>9017.2549793883027</v>
      </c>
      <c r="H33" s="97">
        <f t="shared" si="19"/>
        <v>9470.3516828686625</v>
      </c>
      <c r="I33" s="97">
        <v>34632.990000000005</v>
      </c>
      <c r="J33" s="97">
        <v>45322.503177109822</v>
      </c>
      <c r="K33" s="97">
        <f t="shared" si="20"/>
        <v>36065.297426571378</v>
      </c>
      <c r="L33" s="97">
        <v>6235309</v>
      </c>
      <c r="M33" s="97">
        <v>0</v>
      </c>
      <c r="N33" s="98">
        <f t="shared" si="21"/>
        <v>6235309</v>
      </c>
      <c r="O33" s="97">
        <v>3924</v>
      </c>
      <c r="P33" s="97">
        <v>0</v>
      </c>
      <c r="Q33" s="97">
        <f t="shared" si="22"/>
        <v>3924</v>
      </c>
      <c r="R33" s="97">
        <v>3073</v>
      </c>
      <c r="S33" s="97">
        <v>0</v>
      </c>
      <c r="T33" s="97">
        <v>650</v>
      </c>
      <c r="U33" s="97">
        <f t="shared" si="10"/>
        <v>3274</v>
      </c>
      <c r="V33" s="97">
        <f t="shared" si="11"/>
        <v>0</v>
      </c>
      <c r="W33" s="97">
        <f t="shared" si="12"/>
        <v>3274</v>
      </c>
      <c r="X33" s="97">
        <v>2996.511</v>
      </c>
      <c r="Y33" s="97">
        <f t="shared" si="13"/>
        <v>120</v>
      </c>
      <c r="Z33" s="97">
        <f t="shared" si="14"/>
        <v>3154</v>
      </c>
      <c r="AA33" s="97">
        <v>3465.0241133386676</v>
      </c>
      <c r="AB33" s="97">
        <v>0</v>
      </c>
      <c r="AC33" s="97">
        <f t="shared" si="23"/>
        <v>3465.0241133386676</v>
      </c>
      <c r="AD33" s="97">
        <v>3466.7473723919497</v>
      </c>
      <c r="AE33" s="97">
        <v>0</v>
      </c>
      <c r="AF33" s="97">
        <f t="shared" si="24"/>
        <v>3466.7473723919497</v>
      </c>
      <c r="AH33" s="91">
        <f t="shared" si="17"/>
        <v>851</v>
      </c>
      <c r="AI33" s="91"/>
      <c r="AJ33" s="91"/>
    </row>
    <row r="34" spans="2:36" x14ac:dyDescent="0.35">
      <c r="B34" s="7" t="s">
        <v>159</v>
      </c>
      <c r="C34" s="97">
        <v>1864</v>
      </c>
      <c r="D34" s="97">
        <v>454</v>
      </c>
      <c r="E34" s="98">
        <f t="shared" si="18"/>
        <v>2318</v>
      </c>
      <c r="F34" s="97">
        <v>9514.7340000000004</v>
      </c>
      <c r="G34" s="97">
        <v>9062.271999999999</v>
      </c>
      <c r="H34" s="97">
        <f t="shared" si="19"/>
        <v>9426.1154719585829</v>
      </c>
      <c r="I34" s="97">
        <v>33588.964499251641</v>
      </c>
      <c r="J34" s="97">
        <v>43920.49378983448</v>
      </c>
      <c r="K34" s="97">
        <f t="shared" si="20"/>
        <v>35612.48231544</v>
      </c>
      <c r="L34" s="97">
        <v>5005550</v>
      </c>
      <c r="M34" s="97">
        <v>15516</v>
      </c>
      <c r="N34" s="98">
        <f t="shared" si="21"/>
        <v>5021066</v>
      </c>
      <c r="O34" s="97">
        <v>4126</v>
      </c>
      <c r="P34" s="97">
        <v>5174</v>
      </c>
      <c r="Q34" s="97">
        <f t="shared" si="22"/>
        <v>4129.2385091134038</v>
      </c>
      <c r="R34" s="97">
        <v>3189</v>
      </c>
      <c r="S34" s="97">
        <v>5174</v>
      </c>
      <c r="T34" s="97">
        <v>650</v>
      </c>
      <c r="U34" s="97">
        <f t="shared" si="10"/>
        <v>3476</v>
      </c>
      <c r="V34" s="97">
        <f t="shared" si="11"/>
        <v>5174</v>
      </c>
      <c r="W34" s="97">
        <f t="shared" si="12"/>
        <v>3481.2471264070218</v>
      </c>
      <c r="X34" s="97">
        <v>3215</v>
      </c>
      <c r="Y34" s="97">
        <f t="shared" si="13"/>
        <v>120</v>
      </c>
      <c r="Z34" s="97">
        <f t="shared" si="14"/>
        <v>3361.2471264070218</v>
      </c>
      <c r="AA34" s="97">
        <v>3341.1533829639047</v>
      </c>
      <c r="AB34" s="97">
        <v>6413.0328899200822</v>
      </c>
      <c r="AC34" s="97">
        <f t="shared" si="23"/>
        <v>3350.6460449663423</v>
      </c>
      <c r="AD34" s="97">
        <v>3352.2060516169095</v>
      </c>
      <c r="AE34" s="97">
        <v>6413.0328899200822</v>
      </c>
      <c r="AF34" s="97">
        <f t="shared" si="24"/>
        <v>3361.664558878736</v>
      </c>
      <c r="AH34" s="91">
        <f t="shared" si="17"/>
        <v>937</v>
      </c>
      <c r="AI34" s="91"/>
      <c r="AJ34" s="91"/>
    </row>
    <row r="35" spans="2:36" x14ac:dyDescent="0.35">
      <c r="B35" s="7" t="s">
        <v>160</v>
      </c>
      <c r="C35" s="97">
        <v>593.5</v>
      </c>
      <c r="D35" s="97">
        <v>198.25</v>
      </c>
      <c r="E35" s="98">
        <f t="shared" si="18"/>
        <v>791.75</v>
      </c>
      <c r="F35" s="97">
        <v>9606.1679999999997</v>
      </c>
      <c r="G35" s="97">
        <v>8889.1129999999994</v>
      </c>
      <c r="H35" s="97">
        <f t="shared" si="19"/>
        <v>9426.621231765077</v>
      </c>
      <c r="I35" s="97">
        <v>45299.891984685186</v>
      </c>
      <c r="J35" s="97">
        <v>51109.04607784687</v>
      </c>
      <c r="K35" s="97">
        <f t="shared" si="20"/>
        <v>46754.473353765461</v>
      </c>
      <c r="L35" s="97">
        <v>741541</v>
      </c>
      <c r="M35" s="97">
        <v>0</v>
      </c>
      <c r="N35" s="98">
        <f t="shared" si="21"/>
        <v>741541</v>
      </c>
      <c r="O35" s="97">
        <v>3926</v>
      </c>
      <c r="P35" s="97">
        <v>0</v>
      </c>
      <c r="Q35" s="97">
        <f t="shared" si="22"/>
        <v>3926</v>
      </c>
      <c r="R35" s="97">
        <v>3169</v>
      </c>
      <c r="S35" s="97">
        <v>0</v>
      </c>
      <c r="T35" s="97">
        <v>650</v>
      </c>
      <c r="U35" s="97">
        <f>MAX(O35-T35,R35)</f>
        <v>3276</v>
      </c>
      <c r="V35" s="97">
        <f>MAX(P35-T35,S35)</f>
        <v>0</v>
      </c>
      <c r="W35" s="97">
        <f>SUMPRODUCT(L35:M35,U35:V35)/N35</f>
        <v>3276</v>
      </c>
      <c r="X35" s="97">
        <v>3207</v>
      </c>
      <c r="Y35" s="97">
        <f>MIN(W35-X35,120)</f>
        <v>69</v>
      </c>
      <c r="Z35" s="97">
        <f>W35-Y35</f>
        <v>3207</v>
      </c>
      <c r="AA35" s="97">
        <v>4142.9608499985352</v>
      </c>
      <c r="AB35" s="97">
        <v>0</v>
      </c>
      <c r="AC35" s="97">
        <f t="shared" si="23"/>
        <v>4142.9608499985352</v>
      </c>
      <c r="AD35" s="97">
        <v>4153.3593422029744</v>
      </c>
      <c r="AE35" s="97">
        <v>0</v>
      </c>
      <c r="AF35" s="97">
        <f t="shared" si="24"/>
        <v>4153.3593422029744</v>
      </c>
      <c r="AH35" s="91">
        <f t="shared" si="17"/>
        <v>757</v>
      </c>
    </row>
    <row r="36" spans="2:36" x14ac:dyDescent="0.35">
      <c r="B36" s="12" t="s">
        <v>27</v>
      </c>
      <c r="C36" s="98">
        <f>SUM(C23:C35)</f>
        <v>37465.245999999999</v>
      </c>
      <c r="D36" s="98">
        <f>SUM(D23:D35)</f>
        <v>7902.7190000000001</v>
      </c>
      <c r="E36" s="98">
        <f t="shared" si="18"/>
        <v>45367.964999999997</v>
      </c>
      <c r="F36" s="97"/>
      <c r="G36" s="97"/>
      <c r="H36" s="97"/>
      <c r="I36" s="97"/>
      <c r="J36" s="97"/>
      <c r="K36" s="97"/>
      <c r="L36" s="98">
        <f>SUM(L23:L35)</f>
        <v>35061023.996999994</v>
      </c>
      <c r="M36" s="98">
        <f>SUM(M23:M35)</f>
        <v>15516</v>
      </c>
      <c r="N36" s="98">
        <f t="shared" si="21"/>
        <v>35076539.996999994</v>
      </c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</row>
    <row r="38" spans="2:36" x14ac:dyDescent="0.35">
      <c r="B38" s="3" t="s">
        <v>323</v>
      </c>
    </row>
    <row r="39" spans="2:36" x14ac:dyDescent="0.35">
      <c r="B39" s="197" t="s">
        <v>170</v>
      </c>
      <c r="C39" s="197" t="s">
        <v>298</v>
      </c>
      <c r="D39" s="197"/>
      <c r="E39" s="197"/>
      <c r="F39" s="197" t="s">
        <v>299</v>
      </c>
      <c r="G39" s="197"/>
      <c r="H39" s="197"/>
      <c r="I39" s="197" t="s">
        <v>317</v>
      </c>
      <c r="J39" s="197"/>
      <c r="K39" s="197"/>
      <c r="L39" s="197" t="s">
        <v>301</v>
      </c>
      <c r="M39" s="197"/>
      <c r="N39" s="197"/>
      <c r="O39" s="198" t="s">
        <v>302</v>
      </c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200"/>
      <c r="AA39" s="197" t="s">
        <v>303</v>
      </c>
      <c r="AB39" s="197"/>
      <c r="AC39" s="197"/>
      <c r="AD39" s="197" t="s">
        <v>304</v>
      </c>
      <c r="AE39" s="197"/>
      <c r="AF39" s="197"/>
    </row>
    <row r="40" spans="2:36" ht="30" x14ac:dyDescent="0.35">
      <c r="B40" s="197"/>
      <c r="C40" s="12" t="s">
        <v>305</v>
      </c>
      <c r="D40" s="12" t="s">
        <v>306</v>
      </c>
      <c r="E40" s="12" t="s">
        <v>27</v>
      </c>
      <c r="F40" s="12" t="s">
        <v>305</v>
      </c>
      <c r="G40" s="12" t="s">
        <v>306</v>
      </c>
      <c r="H40" s="12" t="s">
        <v>307</v>
      </c>
      <c r="I40" s="12" t="s">
        <v>305</v>
      </c>
      <c r="J40" s="12" t="s">
        <v>306</v>
      </c>
      <c r="K40" s="12" t="s">
        <v>307</v>
      </c>
      <c r="L40" s="12" t="s">
        <v>308</v>
      </c>
      <c r="M40" s="12" t="s">
        <v>309</v>
      </c>
      <c r="N40" s="12" t="s">
        <v>27</v>
      </c>
      <c r="O40" s="133" t="s">
        <v>318</v>
      </c>
      <c r="P40" s="133" t="s">
        <v>319</v>
      </c>
      <c r="Q40" s="133" t="s">
        <v>320</v>
      </c>
      <c r="R40" s="133" t="s">
        <v>310</v>
      </c>
      <c r="S40" s="133" t="s">
        <v>311</v>
      </c>
      <c r="T40" s="133" t="s">
        <v>321</v>
      </c>
      <c r="U40" s="133" t="s">
        <v>310</v>
      </c>
      <c r="V40" s="133" t="s">
        <v>311</v>
      </c>
      <c r="W40" s="133" t="s">
        <v>312</v>
      </c>
      <c r="X40" s="12" t="s">
        <v>313</v>
      </c>
      <c r="Y40" s="133" t="s">
        <v>322</v>
      </c>
      <c r="Z40" s="12" t="s">
        <v>315</v>
      </c>
      <c r="AA40" s="12" t="s">
        <v>308</v>
      </c>
      <c r="AB40" s="12" t="s">
        <v>309</v>
      </c>
      <c r="AC40" s="12" t="s">
        <v>307</v>
      </c>
      <c r="AD40" s="12" t="s">
        <v>308</v>
      </c>
      <c r="AE40" s="12" t="s">
        <v>309</v>
      </c>
      <c r="AF40" s="12" t="s">
        <v>307</v>
      </c>
    </row>
    <row r="41" spans="2:36" x14ac:dyDescent="0.35">
      <c r="B41" s="7" t="s">
        <v>43</v>
      </c>
      <c r="C41" s="97">
        <v>205</v>
      </c>
      <c r="D41" s="97">
        <v>222</v>
      </c>
      <c r="E41" s="98">
        <f>SUM(C41:D41)</f>
        <v>427</v>
      </c>
      <c r="F41" s="97">
        <v>9644.4210000000003</v>
      </c>
      <c r="G41" s="97">
        <v>9116.0110000000004</v>
      </c>
      <c r="H41" s="97">
        <f>SUMPRODUCT(C41:D41,F41:G41)/E41</f>
        <v>9369.6972997658086</v>
      </c>
      <c r="I41" s="97">
        <v>38336.547307911213</v>
      </c>
      <c r="J41" s="97">
        <v>49455.626594345835</v>
      </c>
      <c r="K41" s="97">
        <f>SUMPRODUCT(C41:D41,I41:J41)/E41</f>
        <v>44117.426936924057</v>
      </c>
      <c r="L41" s="97">
        <v>145220</v>
      </c>
      <c r="M41" s="97">
        <v>0</v>
      </c>
      <c r="N41" s="98">
        <f>SUM(L41:M41)</f>
        <v>145220</v>
      </c>
      <c r="O41" s="97">
        <v>4227.9553594100207</v>
      </c>
      <c r="P41" s="97">
        <v>0</v>
      </c>
      <c r="Q41" s="97">
        <f>SUMPRODUCT(L41:M41,O41:P41)/N41</f>
        <v>4227.9553594100207</v>
      </c>
      <c r="R41" s="97">
        <v>3249.7813998927472</v>
      </c>
      <c r="S41" s="97">
        <v>0</v>
      </c>
      <c r="T41" s="97">
        <v>625</v>
      </c>
      <c r="U41" s="97">
        <f t="shared" ref="U41:U45" si="25">MAX(O41-T41,R41)</f>
        <v>3602.9553594100207</v>
      </c>
      <c r="V41" s="97">
        <f t="shared" ref="V41:V45" si="26">MAX(P41-T41,S41)</f>
        <v>0</v>
      </c>
      <c r="W41" s="97">
        <f t="shared" ref="W41:W45" si="27">SUMPRODUCT(L41:M41,U41:V41)/N41</f>
        <v>3602.9553594100207</v>
      </c>
      <c r="X41" s="97">
        <v>3359.2376025891749</v>
      </c>
      <c r="Y41" s="97">
        <f t="shared" ref="Y41:Y45" si="28">MIN(W41-X41,120)</f>
        <v>120</v>
      </c>
      <c r="Z41" s="97">
        <f t="shared" ref="Z41:Z52" si="29">W41-Y41</f>
        <v>3482.9553594100207</v>
      </c>
      <c r="AA41" s="97">
        <v>3986.8223070331578</v>
      </c>
      <c r="AB41" s="97">
        <v>0</v>
      </c>
      <c r="AC41" s="97">
        <f>SUMPRODUCT(L41:M41,AA41:AB41)/N41</f>
        <v>3986.8223070331578</v>
      </c>
      <c r="AD41" s="97">
        <v>3988.0104530537424</v>
      </c>
      <c r="AE41" s="97">
        <v>0</v>
      </c>
      <c r="AF41" s="97">
        <f>SUMPRODUCT(L41:M41,AD41:AE41)/N41</f>
        <v>3988.0104530537419</v>
      </c>
      <c r="AH41" s="91"/>
    </row>
    <row r="42" spans="2:36" x14ac:dyDescent="0.35">
      <c r="B42" s="7" t="s">
        <v>150</v>
      </c>
      <c r="C42" s="97">
        <v>7755</v>
      </c>
      <c r="D42" s="97">
        <v>1330</v>
      </c>
      <c r="E42" s="98">
        <f t="shared" ref="E42:E45" si="30">SUM(C42:D42)</f>
        <v>9085</v>
      </c>
      <c r="F42" s="97">
        <v>9636.9570000000003</v>
      </c>
      <c r="G42" s="97">
        <v>9158.6610000000001</v>
      </c>
      <c r="H42" s="97">
        <f>SUMPRODUCT(C42:D42,F42:G42)/E42</f>
        <v>9566.9367820583375</v>
      </c>
      <c r="I42" s="97">
        <v>41440.197962560364</v>
      </c>
      <c r="J42" s="97">
        <v>46494.271157506904</v>
      </c>
      <c r="K42" s="97">
        <f>SUMPRODUCT(C42:D42,I42:J42)/E42</f>
        <v>42180.089800675814</v>
      </c>
      <c r="L42" s="97">
        <v>3519061.4838709678</v>
      </c>
      <c r="M42" s="97">
        <v>0</v>
      </c>
      <c r="N42" s="98">
        <f t="shared" ref="N42:N54" si="31">SUM(L42:M42)</f>
        <v>3519061.4838709678</v>
      </c>
      <c r="O42" s="97">
        <v>4016</v>
      </c>
      <c r="P42" s="97">
        <v>0</v>
      </c>
      <c r="Q42" s="97">
        <f>SUMPRODUCT(L42:M42,O42:P42)/N42</f>
        <v>4016</v>
      </c>
      <c r="R42" s="97">
        <v>3162</v>
      </c>
      <c r="S42" s="97">
        <v>0</v>
      </c>
      <c r="T42" s="97">
        <v>625</v>
      </c>
      <c r="U42" s="97">
        <f t="shared" si="25"/>
        <v>3391</v>
      </c>
      <c r="V42" s="97">
        <f t="shared" si="26"/>
        <v>0</v>
      </c>
      <c r="W42" s="97">
        <f t="shared" si="27"/>
        <v>3391</v>
      </c>
      <c r="X42" s="97">
        <v>3135</v>
      </c>
      <c r="Y42" s="97">
        <f t="shared" si="28"/>
        <v>120</v>
      </c>
      <c r="Z42" s="97">
        <f t="shared" si="29"/>
        <v>3271</v>
      </c>
      <c r="AA42" s="97">
        <v>3316.174972236855</v>
      </c>
      <c r="AB42" s="97">
        <v>0</v>
      </c>
      <c r="AC42" s="97">
        <f>SUMPRODUCT(L42:M42,AA42:AB42)/N42</f>
        <v>3316.174972236855</v>
      </c>
      <c r="AD42" s="97">
        <v>3326.5641220059538</v>
      </c>
      <c r="AE42" s="97">
        <v>0</v>
      </c>
      <c r="AF42" s="97">
        <f>SUMPRODUCT(L42:M42,AD42:AE42)/N42</f>
        <v>3326.5641220059538</v>
      </c>
      <c r="AH42" s="91"/>
    </row>
    <row r="43" spans="2:36" x14ac:dyDescent="0.35">
      <c r="B43" s="7" t="s">
        <v>151</v>
      </c>
      <c r="C43" s="97">
        <v>7755</v>
      </c>
      <c r="D43" s="97">
        <v>1330</v>
      </c>
      <c r="E43" s="98">
        <f t="shared" si="30"/>
        <v>9085</v>
      </c>
      <c r="F43" s="97">
        <v>9432.210149999999</v>
      </c>
      <c r="G43" s="97">
        <v>9075.79205</v>
      </c>
      <c r="H43" s="97">
        <f>SUMPRODUCT(C43:D43,F43:G43)/E43</f>
        <v>9380.0322663456245</v>
      </c>
      <c r="I43" s="97">
        <v>42388.632254018274</v>
      </c>
      <c r="J43" s="97">
        <v>48662.150002052578</v>
      </c>
      <c r="K43" s="97">
        <f>SUMPRODUCT(C43:D43,I43:J43)/E43</f>
        <v>43307.044868755278</v>
      </c>
      <c r="L43" s="97">
        <v>1718911.54</v>
      </c>
      <c r="M43" s="97">
        <v>0</v>
      </c>
      <c r="N43" s="98">
        <f t="shared" si="31"/>
        <v>1718911.54</v>
      </c>
      <c r="O43" s="97">
        <v>3823.35</v>
      </c>
      <c r="P43" s="97">
        <v>0</v>
      </c>
      <c r="Q43" s="97">
        <f>SUMPRODUCT(L43:M43,O43:P43)/N43</f>
        <v>3823.35</v>
      </c>
      <c r="R43" s="97">
        <v>3030.35</v>
      </c>
      <c r="S43" s="97">
        <v>0</v>
      </c>
      <c r="T43" s="97">
        <v>625</v>
      </c>
      <c r="U43" s="97">
        <f t="shared" si="25"/>
        <v>3198.35</v>
      </c>
      <c r="V43" s="97">
        <f t="shared" si="26"/>
        <v>0</v>
      </c>
      <c r="W43" s="97">
        <f t="shared" si="27"/>
        <v>3198.35</v>
      </c>
      <c r="X43" s="97">
        <v>2828.16</v>
      </c>
      <c r="Y43" s="97">
        <f t="shared" si="28"/>
        <v>120</v>
      </c>
      <c r="Z43" s="97">
        <f t="shared" si="29"/>
        <v>3078.35</v>
      </c>
      <c r="AA43" s="97">
        <v>3146.4955079431834</v>
      </c>
      <c r="AB43" s="97">
        <v>0</v>
      </c>
      <c r="AC43" s="97">
        <f>SUMPRODUCT(L43:M43,AA43:AB43)/N43</f>
        <v>3146.4955079431829</v>
      </c>
      <c r="AD43" s="97">
        <v>3124.98150475395</v>
      </c>
      <c r="AE43" s="97">
        <v>0</v>
      </c>
      <c r="AF43" s="97">
        <f>SUMPRODUCT(L43:M43,AD43:AE43)/N43</f>
        <v>3124.9815047539496</v>
      </c>
      <c r="AH43" s="91"/>
    </row>
    <row r="44" spans="2:36" x14ac:dyDescent="0.35">
      <c r="B44" s="7" t="s">
        <v>44</v>
      </c>
      <c r="C44" s="97">
        <v>1213.2</v>
      </c>
      <c r="D44" s="97">
        <v>194.01</v>
      </c>
      <c r="E44" s="98">
        <f t="shared" si="30"/>
        <v>1407.21</v>
      </c>
      <c r="F44" s="97">
        <v>9353.3250000000007</v>
      </c>
      <c r="G44" s="97">
        <v>8966.735999999999</v>
      </c>
      <c r="H44" s="97">
        <f>SUMPRODUCT(C44:D44,F44:G44)/E44</f>
        <v>9300.0265357409353</v>
      </c>
      <c r="I44" s="97">
        <v>38107.417276623804</v>
      </c>
      <c r="J44" s="97">
        <v>44215.442657594969</v>
      </c>
      <c r="K44" s="97">
        <f>SUMPRODUCT(C44:D44,I44:J44)/E44</f>
        <v>38949.521869514858</v>
      </c>
      <c r="L44" s="97">
        <v>122270</v>
      </c>
      <c r="M44" s="97">
        <v>0</v>
      </c>
      <c r="N44" s="98">
        <f t="shared" si="31"/>
        <v>122270</v>
      </c>
      <c r="O44" s="97">
        <v>3732.1898308667055</v>
      </c>
      <c r="P44" s="97">
        <v>0</v>
      </c>
      <c r="Q44" s="97">
        <f>SUMPRODUCT(L44:M44,O44:P44)/N44</f>
        <v>3732.1898308667055</v>
      </c>
      <c r="R44" s="97">
        <v>3245.7367105503758</v>
      </c>
      <c r="S44" s="97">
        <v>0</v>
      </c>
      <c r="T44" s="97">
        <v>625</v>
      </c>
      <c r="U44" s="97">
        <f t="shared" si="25"/>
        <v>3245.7367105503758</v>
      </c>
      <c r="V44" s="97">
        <f t="shared" si="26"/>
        <v>0</v>
      </c>
      <c r="W44" s="97">
        <f t="shared" si="27"/>
        <v>3245.7367105503758</v>
      </c>
      <c r="X44" s="97">
        <v>2873.8989999999999</v>
      </c>
      <c r="Y44" s="97">
        <f t="shared" si="28"/>
        <v>120</v>
      </c>
      <c r="Z44" s="97">
        <f t="shared" si="29"/>
        <v>3125.7367105503758</v>
      </c>
      <c r="AA44" s="97">
        <v>3637.4591662800499</v>
      </c>
      <c r="AB44" s="97">
        <v>0</v>
      </c>
      <c r="AC44" s="97">
        <f>SUMPRODUCT(L44:M44,AA44:AB44)/N44</f>
        <v>3637.4591662800503</v>
      </c>
      <c r="AD44" s="97">
        <v>3632.1207124713401</v>
      </c>
      <c r="AE44" s="97">
        <v>0</v>
      </c>
      <c r="AF44" s="97">
        <f>SUMPRODUCT(L44:M44,AD44:AE44)/N44</f>
        <v>3632.1207124713401</v>
      </c>
      <c r="AH44" s="91"/>
    </row>
    <row r="45" spans="2:36" x14ac:dyDescent="0.35">
      <c r="B45" s="7" t="s">
        <v>152</v>
      </c>
      <c r="C45" s="97">
        <v>923.28</v>
      </c>
      <c r="D45" s="97">
        <v>216.41</v>
      </c>
      <c r="E45" s="98">
        <f t="shared" si="30"/>
        <v>1139.69</v>
      </c>
      <c r="F45" s="97">
        <v>9762.9120000000003</v>
      </c>
      <c r="G45" s="97">
        <v>9238.8429999999989</v>
      </c>
      <c r="H45" s="97">
        <f>SUMPRODUCT(C45:D45,F45:G45)/E45</f>
        <v>9663.3991743281058</v>
      </c>
      <c r="I45" s="97">
        <v>43869.052500000005</v>
      </c>
      <c r="J45" s="97">
        <v>54030.784500000002</v>
      </c>
      <c r="K45" s="97">
        <f>SUMPRODUCT(C45:D45,I45:J45)/E45</f>
        <v>45798.612662956599</v>
      </c>
      <c r="L45" s="97">
        <v>780578</v>
      </c>
      <c r="M45" s="97">
        <v>0</v>
      </c>
      <c r="N45" s="98">
        <f t="shared" si="31"/>
        <v>780578</v>
      </c>
      <c r="O45" s="97">
        <v>4061</v>
      </c>
      <c r="P45" s="97">
        <v>0</v>
      </c>
      <c r="Q45" s="97">
        <f>SUMPRODUCT(L45:M45,O45:P45)/N45</f>
        <v>4061</v>
      </c>
      <c r="R45" s="97">
        <v>3210</v>
      </c>
      <c r="S45" s="97">
        <v>0</v>
      </c>
      <c r="T45" s="97">
        <v>625</v>
      </c>
      <c r="U45" s="97">
        <f t="shared" si="25"/>
        <v>3436</v>
      </c>
      <c r="V45" s="97">
        <f t="shared" si="26"/>
        <v>0</v>
      </c>
      <c r="W45" s="97">
        <f t="shared" si="27"/>
        <v>3436</v>
      </c>
      <c r="X45" s="97">
        <v>3324</v>
      </c>
      <c r="Y45" s="97">
        <f t="shared" si="28"/>
        <v>112</v>
      </c>
      <c r="Z45" s="97">
        <f t="shared" si="29"/>
        <v>3324</v>
      </c>
      <c r="AA45" s="97">
        <v>4451.8296600759268</v>
      </c>
      <c r="AB45" s="97">
        <v>0</v>
      </c>
      <c r="AC45" s="97">
        <f>SUMPRODUCT(L45:M45,AA45:AB45)/N45</f>
        <v>4451.8296600759268</v>
      </c>
      <c r="AD45" s="97">
        <v>4456.309500654701</v>
      </c>
      <c r="AE45" s="97">
        <v>0</v>
      </c>
      <c r="AF45" s="97">
        <f>SUMPRODUCT(L45:M45,AD45:AE45)/N45</f>
        <v>4456.309500654701</v>
      </c>
      <c r="AH45" s="91"/>
    </row>
    <row r="46" spans="2:36" x14ac:dyDescent="0.35">
      <c r="B46" s="7" t="s">
        <v>154</v>
      </c>
      <c r="C46" s="97"/>
      <c r="D46" s="97"/>
      <c r="E46" s="98"/>
      <c r="F46" s="97"/>
      <c r="G46" s="97"/>
      <c r="H46" s="97"/>
      <c r="I46" s="97"/>
      <c r="J46" s="97"/>
      <c r="K46" s="97"/>
      <c r="L46" s="97">
        <v>299465.46299999999</v>
      </c>
      <c r="M46" s="97"/>
      <c r="N46" s="98">
        <f t="shared" si="31"/>
        <v>299465.46299999999</v>
      </c>
      <c r="O46" s="97"/>
      <c r="P46" s="97"/>
      <c r="Q46" s="97"/>
      <c r="R46" s="97"/>
      <c r="S46" s="97"/>
      <c r="T46" s="97"/>
      <c r="U46" s="97"/>
      <c r="V46" s="97"/>
      <c r="W46" s="97">
        <v>8449.3301406624414</v>
      </c>
      <c r="X46" s="97"/>
      <c r="Y46" s="97">
        <v>0</v>
      </c>
      <c r="Z46" s="97">
        <f t="shared" si="29"/>
        <v>8449.3301406624414</v>
      </c>
      <c r="AA46" s="97">
        <v>5459.0541981188362</v>
      </c>
      <c r="AB46" s="97"/>
      <c r="AC46" s="97">
        <f>AA46</f>
        <v>5459.0541981188362</v>
      </c>
      <c r="AD46" s="97">
        <f>AC46</f>
        <v>5459.0541981188362</v>
      </c>
      <c r="AE46" s="97"/>
      <c r="AF46" s="97">
        <f>AD46</f>
        <v>5459.0541981188362</v>
      </c>
      <c r="AH46" s="91"/>
    </row>
    <row r="47" spans="2:36" x14ac:dyDescent="0.35">
      <c r="B47" s="7" t="s">
        <v>155</v>
      </c>
      <c r="C47" s="97">
        <v>1937.0940000000001</v>
      </c>
      <c r="D47" s="97">
        <v>678.51900000000001</v>
      </c>
      <c r="E47" s="98">
        <f t="shared" ref="E47:E54" si="32">SUM(C47:D47)</f>
        <v>2615.6130000000003</v>
      </c>
      <c r="F47" s="97">
        <v>9529.6620000000003</v>
      </c>
      <c r="G47" s="97">
        <v>8951.3819999999996</v>
      </c>
      <c r="H47" s="97">
        <f t="shared" ref="H47:H52" si="33">SUMPRODUCT(C47:D47,F47:G47)/E47</f>
        <v>9379.6497591524421</v>
      </c>
      <c r="I47" s="97">
        <v>38013.49</v>
      </c>
      <c r="J47" s="97">
        <v>41816.5</v>
      </c>
      <c r="K47" s="97">
        <f t="shared" ref="K47:K52" si="34">SUMPRODUCT(C47:D47,I47:J47)/E47</f>
        <v>39000.03294124933</v>
      </c>
      <c r="L47" s="97">
        <v>926340</v>
      </c>
      <c r="M47" s="97">
        <v>0</v>
      </c>
      <c r="N47" s="98">
        <f t="shared" si="31"/>
        <v>926340</v>
      </c>
      <c r="O47" s="97">
        <v>4061</v>
      </c>
      <c r="P47" s="97">
        <v>0</v>
      </c>
      <c r="Q47" s="97">
        <f t="shared" ref="Q47:Q53" si="35">SUMPRODUCT(L47:M47,O47:P47)/N47</f>
        <v>4061</v>
      </c>
      <c r="R47" s="97">
        <v>3098</v>
      </c>
      <c r="S47" s="97">
        <v>0</v>
      </c>
      <c r="T47" s="97">
        <v>625</v>
      </c>
      <c r="U47" s="97">
        <f t="shared" ref="U47:U52" si="36">MAX(O47-T47,R47)</f>
        <v>3436</v>
      </c>
      <c r="V47" s="97">
        <f t="shared" ref="V47:V52" si="37">MAX(P47-T47,S47)</f>
        <v>0</v>
      </c>
      <c r="W47" s="97">
        <f t="shared" ref="W47:W52" si="38">SUMPRODUCT(L47:M47,U47:V47)/N47</f>
        <v>3436</v>
      </c>
      <c r="X47" s="97">
        <v>3246</v>
      </c>
      <c r="Y47" s="97">
        <f t="shared" ref="Y47:Y52" si="39">MIN(W47-X47,120)</f>
        <v>120</v>
      </c>
      <c r="Z47" s="97">
        <f t="shared" si="29"/>
        <v>3316</v>
      </c>
      <c r="AA47" s="97">
        <v>3943.6970401202398</v>
      </c>
      <c r="AB47" s="97">
        <v>0</v>
      </c>
      <c r="AC47" s="97">
        <f t="shared" ref="AC47:AC53" si="40">SUMPRODUCT(L47:M47,AA47:AB47)/N47</f>
        <v>3943.6970401202398</v>
      </c>
      <c r="AD47" s="97">
        <v>3944.4838219918392</v>
      </c>
      <c r="AE47" s="97">
        <v>0</v>
      </c>
      <c r="AF47" s="97">
        <f t="shared" ref="AF47:AF53" si="41">SUMPRODUCT(L47:M47,AD47:AE47)/N47</f>
        <v>3944.4838219918392</v>
      </c>
      <c r="AH47" s="91"/>
    </row>
    <row r="48" spans="2:36" x14ac:dyDescent="0.35">
      <c r="B48" s="7" t="s">
        <v>156</v>
      </c>
      <c r="C48" s="97">
        <v>2180.1019999999999</v>
      </c>
      <c r="D48" s="97">
        <v>153.62</v>
      </c>
      <c r="E48" s="98">
        <f t="shared" si="32"/>
        <v>2333.7219999999998</v>
      </c>
      <c r="F48" s="97">
        <v>9606.1679999999997</v>
      </c>
      <c r="G48" s="97">
        <v>8889.1129999999994</v>
      </c>
      <c r="H48" s="97">
        <f t="shared" si="33"/>
        <v>9558.9670098649276</v>
      </c>
      <c r="I48" s="97">
        <v>37578.97202999999</v>
      </c>
      <c r="J48" s="97">
        <v>44070.737450035609</v>
      </c>
      <c r="K48" s="97">
        <f t="shared" si="34"/>
        <v>38006.300136700731</v>
      </c>
      <c r="L48" s="97">
        <v>473731</v>
      </c>
      <c r="M48" s="97">
        <v>0</v>
      </c>
      <c r="N48" s="98">
        <f t="shared" si="31"/>
        <v>473731</v>
      </c>
      <c r="O48" s="97">
        <v>3659</v>
      </c>
      <c r="P48" s="97">
        <v>0</v>
      </c>
      <c r="Q48" s="97">
        <f t="shared" si="35"/>
        <v>3659</v>
      </c>
      <c r="R48" s="97">
        <v>3301</v>
      </c>
      <c r="S48" s="97">
        <v>0</v>
      </c>
      <c r="T48" s="97">
        <v>625</v>
      </c>
      <c r="U48" s="97">
        <f t="shared" si="36"/>
        <v>3301</v>
      </c>
      <c r="V48" s="97">
        <f t="shared" si="37"/>
        <v>0</v>
      </c>
      <c r="W48" s="97">
        <f t="shared" si="38"/>
        <v>3301</v>
      </c>
      <c r="X48" s="97">
        <v>3225</v>
      </c>
      <c r="Y48" s="97">
        <f t="shared" si="39"/>
        <v>76</v>
      </c>
      <c r="Z48" s="97">
        <f t="shared" si="29"/>
        <v>3225</v>
      </c>
      <c r="AA48" s="97">
        <v>4719.7062607903545</v>
      </c>
      <c r="AB48" s="97">
        <v>0</v>
      </c>
      <c r="AC48" s="97">
        <f t="shared" si="40"/>
        <v>4719.7062607903545</v>
      </c>
      <c r="AD48" s="97">
        <v>4732.4478807946025</v>
      </c>
      <c r="AE48" s="97">
        <v>0</v>
      </c>
      <c r="AF48" s="97">
        <f t="shared" si="41"/>
        <v>4732.4478807946025</v>
      </c>
      <c r="AH48" s="91"/>
    </row>
    <row r="49" spans="2:39" x14ac:dyDescent="0.35">
      <c r="B49" s="7" t="s">
        <v>8</v>
      </c>
      <c r="C49" s="97">
        <v>902.96</v>
      </c>
      <c r="D49" s="97">
        <v>131.58000000000001</v>
      </c>
      <c r="E49" s="98">
        <f t="shared" si="32"/>
        <v>1034.54</v>
      </c>
      <c r="F49" s="97">
        <v>9432.210149999999</v>
      </c>
      <c r="G49" s="97">
        <v>9075.79205</v>
      </c>
      <c r="H49" s="97">
        <f t="shared" si="33"/>
        <v>9386.878414544628</v>
      </c>
      <c r="I49" s="97">
        <v>42388.632254018274</v>
      </c>
      <c r="J49" s="97">
        <v>48662.150002052578</v>
      </c>
      <c r="K49" s="97">
        <f t="shared" si="34"/>
        <v>43186.541919460265</v>
      </c>
      <c r="L49" s="97">
        <v>1330055.18</v>
      </c>
      <c r="M49" s="97">
        <v>0</v>
      </c>
      <c r="N49" s="98">
        <f t="shared" si="31"/>
        <v>1330055.18</v>
      </c>
      <c r="O49" s="97">
        <v>3829.96</v>
      </c>
      <c r="P49" s="97">
        <v>0</v>
      </c>
      <c r="Q49" s="97">
        <f t="shared" si="35"/>
        <v>3829.96</v>
      </c>
      <c r="R49" s="97">
        <v>3032.48</v>
      </c>
      <c r="S49" s="97">
        <v>0</v>
      </c>
      <c r="T49" s="97">
        <v>625</v>
      </c>
      <c r="U49" s="97">
        <f t="shared" si="36"/>
        <v>3204.96</v>
      </c>
      <c r="V49" s="97">
        <f t="shared" si="37"/>
        <v>0</v>
      </c>
      <c r="W49" s="97">
        <f t="shared" si="38"/>
        <v>3204.96</v>
      </c>
      <c r="X49" s="97">
        <v>2829</v>
      </c>
      <c r="Y49" s="97">
        <f t="shared" si="39"/>
        <v>120</v>
      </c>
      <c r="Z49" s="97">
        <f t="shared" si="29"/>
        <v>3084.96</v>
      </c>
      <c r="AA49" s="97">
        <v>3139.4719185989966</v>
      </c>
      <c r="AB49" s="97">
        <v>0</v>
      </c>
      <c r="AC49" s="97">
        <f t="shared" si="40"/>
        <v>3139.4719185989966</v>
      </c>
      <c r="AD49" s="97">
        <v>3117.9579154097632</v>
      </c>
      <c r="AE49" s="97">
        <v>0</v>
      </c>
      <c r="AF49" s="97">
        <f t="shared" si="41"/>
        <v>3117.9579154097632</v>
      </c>
      <c r="AH49" s="91"/>
    </row>
    <row r="50" spans="2:39" x14ac:dyDescent="0.35">
      <c r="B50" s="7" t="s">
        <v>157</v>
      </c>
      <c r="C50" s="97">
        <v>1876</v>
      </c>
      <c r="D50" s="97">
        <v>448</v>
      </c>
      <c r="E50" s="98">
        <f t="shared" si="32"/>
        <v>2324</v>
      </c>
      <c r="F50" s="97">
        <v>9644.4210000000003</v>
      </c>
      <c r="G50" s="97">
        <v>9116.0110000000004</v>
      </c>
      <c r="H50" s="97">
        <f t="shared" si="33"/>
        <v>9542.5588313253011</v>
      </c>
      <c r="I50" s="97">
        <v>36946.564137433932</v>
      </c>
      <c r="J50" s="97">
        <v>47540.171432835821</v>
      </c>
      <c r="K50" s="97">
        <f t="shared" si="34"/>
        <v>38988.70530281261</v>
      </c>
      <c r="L50" s="97">
        <v>2144682</v>
      </c>
      <c r="M50" s="97">
        <v>0</v>
      </c>
      <c r="N50" s="98">
        <f t="shared" si="31"/>
        <v>2144682</v>
      </c>
      <c r="O50" s="97">
        <v>4058.7102679185746</v>
      </c>
      <c r="P50" s="97">
        <v>0</v>
      </c>
      <c r="Q50" s="97">
        <f t="shared" si="35"/>
        <v>4058.7102679185746</v>
      </c>
      <c r="R50" s="97">
        <v>3235.4330213079011</v>
      </c>
      <c r="S50" s="97">
        <v>0</v>
      </c>
      <c r="T50" s="97">
        <v>625</v>
      </c>
      <c r="U50" s="97">
        <f t="shared" si="36"/>
        <v>3433.7102679185746</v>
      </c>
      <c r="V50" s="97">
        <f t="shared" si="37"/>
        <v>0</v>
      </c>
      <c r="W50" s="97">
        <f t="shared" si="38"/>
        <v>3433.7102679185746</v>
      </c>
      <c r="X50" s="97">
        <v>3272.1970000000001</v>
      </c>
      <c r="Y50" s="97">
        <f t="shared" si="39"/>
        <v>120</v>
      </c>
      <c r="Z50" s="97">
        <f t="shared" si="29"/>
        <v>3313.7102679185746</v>
      </c>
      <c r="AA50" s="97">
        <v>3981.0046480603078</v>
      </c>
      <c r="AB50" s="97">
        <v>0</v>
      </c>
      <c r="AC50" s="97">
        <f t="shared" si="40"/>
        <v>3981.0046480603078</v>
      </c>
      <c r="AD50" s="97">
        <v>3982.1910347082189</v>
      </c>
      <c r="AE50" s="97">
        <v>0</v>
      </c>
      <c r="AF50" s="97">
        <f t="shared" si="41"/>
        <v>3982.1910347082189</v>
      </c>
      <c r="AH50" s="91"/>
    </row>
    <row r="51" spans="2:39" x14ac:dyDescent="0.35">
      <c r="B51" s="7" t="s">
        <v>158</v>
      </c>
      <c r="C51" s="97">
        <v>8254.3289999999997</v>
      </c>
      <c r="D51" s="97">
        <v>800.51300000000003</v>
      </c>
      <c r="E51" s="98">
        <f t="shared" si="32"/>
        <v>9054.8420000000006</v>
      </c>
      <c r="F51" s="97">
        <v>9579.1110000000008</v>
      </c>
      <c r="G51" s="97">
        <v>9140.7479999999996</v>
      </c>
      <c r="H51" s="97">
        <f t="shared" si="33"/>
        <v>9540.3565656079918</v>
      </c>
      <c r="I51" s="97">
        <v>41502.300695792474</v>
      </c>
      <c r="J51" s="97">
        <v>45450.58392555773</v>
      </c>
      <c r="K51" s="97">
        <f t="shared" si="34"/>
        <v>41851.357261672812</v>
      </c>
      <c r="L51" s="97">
        <v>1678406.45</v>
      </c>
      <c r="M51" s="97">
        <v>0</v>
      </c>
      <c r="N51" s="98">
        <f t="shared" si="31"/>
        <v>1678406.45</v>
      </c>
      <c r="O51" s="97">
        <v>3948</v>
      </c>
      <c r="P51" s="97">
        <v>0</v>
      </c>
      <c r="Q51" s="97">
        <f t="shared" si="35"/>
        <v>3947.9999999999995</v>
      </c>
      <c r="R51" s="97">
        <v>3142</v>
      </c>
      <c r="S51" s="97">
        <v>0</v>
      </c>
      <c r="T51" s="97">
        <v>625</v>
      </c>
      <c r="U51" s="97">
        <f t="shared" si="36"/>
        <v>3323</v>
      </c>
      <c r="V51" s="97">
        <f t="shared" si="37"/>
        <v>0</v>
      </c>
      <c r="W51" s="97">
        <f t="shared" si="38"/>
        <v>3322.9999999999995</v>
      </c>
      <c r="X51" s="97">
        <v>3252</v>
      </c>
      <c r="Y51" s="97">
        <f t="shared" si="39"/>
        <v>70.999999999999545</v>
      </c>
      <c r="Z51" s="97">
        <f t="shared" si="29"/>
        <v>3252</v>
      </c>
      <c r="AA51" s="97">
        <v>3685.3627944149853</v>
      </c>
      <c r="AB51" s="97">
        <v>0</v>
      </c>
      <c r="AC51" s="97">
        <f t="shared" si="40"/>
        <v>3685.3627944149857</v>
      </c>
      <c r="AD51" s="97">
        <v>3685.3627944149853</v>
      </c>
      <c r="AE51" s="97">
        <v>0</v>
      </c>
      <c r="AF51" s="97">
        <f t="shared" si="41"/>
        <v>3685.3627944149857</v>
      </c>
      <c r="AH51" s="91"/>
    </row>
    <row r="52" spans="2:39" x14ac:dyDescent="0.35">
      <c r="B52" s="7" t="s">
        <v>159</v>
      </c>
      <c r="C52" s="97">
        <v>1497.5</v>
      </c>
      <c r="D52" s="97">
        <v>457.8</v>
      </c>
      <c r="E52" s="98">
        <f t="shared" si="32"/>
        <v>1955.3</v>
      </c>
      <c r="F52" s="97">
        <v>9571.6470000000008</v>
      </c>
      <c r="G52" s="97">
        <v>8965.0300000000007</v>
      </c>
      <c r="H52" s="97">
        <f t="shared" si="33"/>
        <v>9429.6180210197926</v>
      </c>
      <c r="I52" s="97">
        <v>39801.848961361582</v>
      </c>
      <c r="J52" s="97">
        <v>46521.040101419123</v>
      </c>
      <c r="K52" s="97">
        <f t="shared" si="34"/>
        <v>41375.032464618547</v>
      </c>
      <c r="L52" s="97">
        <v>2008196.0967741935</v>
      </c>
      <c r="M52" s="97">
        <v>0</v>
      </c>
      <c r="N52" s="98">
        <f t="shared" si="31"/>
        <v>2008196.0967741935</v>
      </c>
      <c r="O52" s="97">
        <v>4107</v>
      </c>
      <c r="P52" s="97">
        <v>0</v>
      </c>
      <c r="Q52" s="97">
        <f t="shared" si="35"/>
        <v>4107</v>
      </c>
      <c r="R52" s="97">
        <v>3248</v>
      </c>
      <c r="S52" s="97">
        <v>0</v>
      </c>
      <c r="T52" s="97">
        <v>625</v>
      </c>
      <c r="U52" s="97">
        <f t="shared" si="36"/>
        <v>3482</v>
      </c>
      <c r="V52" s="97">
        <f t="shared" si="37"/>
        <v>0</v>
      </c>
      <c r="W52" s="97">
        <f t="shared" si="38"/>
        <v>3482</v>
      </c>
      <c r="X52" s="97">
        <v>3287</v>
      </c>
      <c r="Y52" s="97">
        <f t="shared" si="39"/>
        <v>120</v>
      </c>
      <c r="Z52" s="97">
        <f t="shared" si="29"/>
        <v>3362</v>
      </c>
      <c r="AA52" s="97">
        <v>3665.0197335277148</v>
      </c>
      <c r="AB52" s="97">
        <v>0</v>
      </c>
      <c r="AC52" s="97">
        <f t="shared" si="40"/>
        <v>3665.0197335277148</v>
      </c>
      <c r="AD52" s="97">
        <v>3676.4142347642019</v>
      </c>
      <c r="AE52" s="97">
        <v>0</v>
      </c>
      <c r="AF52" s="97">
        <f t="shared" si="41"/>
        <v>3676.4142347642019</v>
      </c>
      <c r="AH52" s="91"/>
    </row>
    <row r="53" spans="2:39" x14ac:dyDescent="0.35">
      <c r="B53" s="7" t="s">
        <v>160</v>
      </c>
      <c r="C53" s="134" t="s">
        <v>475</v>
      </c>
      <c r="D53" s="134" t="s">
        <v>476</v>
      </c>
      <c r="E53" s="98">
        <f>C53+D53</f>
        <v>1263.9070000000002</v>
      </c>
      <c r="F53" s="97">
        <v>9606.1679999999997</v>
      </c>
      <c r="G53" s="97">
        <v>8889.1129999999994</v>
      </c>
      <c r="H53" s="97">
        <f>(C53*F53+D53*G53)/E53</f>
        <v>9435.5598938656076</v>
      </c>
      <c r="I53" s="97">
        <v>38222.477403513425</v>
      </c>
      <c r="J53" s="97">
        <v>44070.737450035565</v>
      </c>
      <c r="K53" s="97">
        <f>(C53*I53+D53*J53)/E53</f>
        <v>39613.947473059787</v>
      </c>
      <c r="L53" s="97">
        <v>330127</v>
      </c>
      <c r="M53" s="97">
        <v>0</v>
      </c>
      <c r="N53" s="98">
        <f t="shared" si="31"/>
        <v>330127</v>
      </c>
      <c r="O53" s="97">
        <v>3659</v>
      </c>
      <c r="P53" s="97">
        <v>0</v>
      </c>
      <c r="Q53" s="97">
        <f t="shared" si="35"/>
        <v>3659</v>
      </c>
      <c r="R53" s="97">
        <v>3301</v>
      </c>
      <c r="S53" s="97">
        <v>0</v>
      </c>
      <c r="T53" s="97">
        <v>625</v>
      </c>
      <c r="U53" s="97">
        <f>MAX(O53-T53,R53)</f>
        <v>3301</v>
      </c>
      <c r="V53" s="97">
        <f>MAX(P53-T53,S53)</f>
        <v>0</v>
      </c>
      <c r="W53" s="97">
        <f>SUMPRODUCT(L53:M53,U53:V53)/N53</f>
        <v>3301</v>
      </c>
      <c r="X53" s="97">
        <v>3220</v>
      </c>
      <c r="Y53" s="97">
        <f>MIN(W53-X53,120)</f>
        <v>81</v>
      </c>
      <c r="Z53" s="97">
        <f>W53-Y53</f>
        <v>3220</v>
      </c>
      <c r="AA53" s="97">
        <v>4725.5853714109935</v>
      </c>
      <c r="AB53" s="97">
        <v>0</v>
      </c>
      <c r="AC53" s="97">
        <f t="shared" si="40"/>
        <v>4725.5853714109935</v>
      </c>
      <c r="AD53" s="97">
        <v>4738.3356514209254</v>
      </c>
      <c r="AE53" s="97">
        <v>0</v>
      </c>
      <c r="AF53" s="97">
        <f t="shared" si="41"/>
        <v>4738.3356514209254</v>
      </c>
    </row>
    <row r="54" spans="2:39" x14ac:dyDescent="0.35">
      <c r="B54" s="12" t="s">
        <v>27</v>
      </c>
      <c r="C54" s="98">
        <f>SUM(C41:C53)</f>
        <v>34499.464999999997</v>
      </c>
      <c r="D54" s="98">
        <f>SUM(D41:D53)</f>
        <v>5962.4520000000002</v>
      </c>
      <c r="E54" s="98">
        <f t="shared" si="32"/>
        <v>40461.916999999994</v>
      </c>
      <c r="F54" s="97"/>
      <c r="G54" s="97"/>
      <c r="H54" s="97"/>
      <c r="I54" s="97"/>
      <c r="J54" s="97"/>
      <c r="K54" s="97"/>
      <c r="L54" s="98">
        <f>SUM(L41:L53)</f>
        <v>15477044.21364516</v>
      </c>
      <c r="M54" s="98">
        <f>SUM(M41:M53)</f>
        <v>0</v>
      </c>
      <c r="N54" s="98">
        <f t="shared" si="31"/>
        <v>15477044.21364516</v>
      </c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</row>
    <row r="55" spans="2:39" x14ac:dyDescent="0.35">
      <c r="B55" s="103"/>
      <c r="C55" s="104"/>
      <c r="D55" s="104"/>
      <c r="E55" s="104"/>
      <c r="F55" s="135"/>
      <c r="G55" s="135"/>
      <c r="H55" s="135"/>
      <c r="I55" s="135"/>
      <c r="J55" s="135"/>
      <c r="K55" s="135"/>
      <c r="L55" s="104"/>
      <c r="M55" s="104"/>
      <c r="N55" s="104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</row>
    <row r="56" spans="2:39" x14ac:dyDescent="0.35">
      <c r="B56" s="3" t="s">
        <v>324</v>
      </c>
      <c r="AH56" s="3" t="s">
        <v>325</v>
      </c>
    </row>
    <row r="57" spans="2:39" x14ac:dyDescent="0.35">
      <c r="B57" s="197" t="s">
        <v>170</v>
      </c>
      <c r="C57" s="197" t="s">
        <v>298</v>
      </c>
      <c r="D57" s="197"/>
      <c r="E57" s="197"/>
      <c r="F57" s="197" t="s">
        <v>299</v>
      </c>
      <c r="G57" s="197"/>
      <c r="H57" s="197"/>
      <c r="I57" s="197" t="s">
        <v>317</v>
      </c>
      <c r="J57" s="197"/>
      <c r="K57" s="197"/>
      <c r="L57" s="197" t="s">
        <v>301</v>
      </c>
      <c r="M57" s="197"/>
      <c r="N57" s="197"/>
      <c r="O57" s="198" t="s">
        <v>302</v>
      </c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200"/>
      <c r="AA57" s="197" t="s">
        <v>303</v>
      </c>
      <c r="AB57" s="197"/>
      <c r="AC57" s="197"/>
      <c r="AD57" s="197" t="s">
        <v>304</v>
      </c>
      <c r="AE57" s="197"/>
      <c r="AF57" s="197"/>
      <c r="AH57" s="197" t="s">
        <v>326</v>
      </c>
      <c r="AI57" s="197"/>
      <c r="AJ57" s="198" t="s">
        <v>327</v>
      </c>
      <c r="AK57" s="199"/>
      <c r="AL57" s="199"/>
      <c r="AM57" s="200"/>
    </row>
    <row r="58" spans="2:39" ht="30" x14ac:dyDescent="0.35">
      <c r="B58" s="197"/>
      <c r="C58" s="12" t="s">
        <v>305</v>
      </c>
      <c r="D58" s="12" t="s">
        <v>306</v>
      </c>
      <c r="E58" s="12" t="s">
        <v>27</v>
      </c>
      <c r="F58" s="12" t="s">
        <v>305</v>
      </c>
      <c r="G58" s="12" t="s">
        <v>306</v>
      </c>
      <c r="H58" s="12" t="s">
        <v>307</v>
      </c>
      <c r="I58" s="12" t="s">
        <v>305</v>
      </c>
      <c r="J58" s="12" t="s">
        <v>306</v>
      </c>
      <c r="K58" s="12" t="s">
        <v>307</v>
      </c>
      <c r="L58" s="12" t="s">
        <v>308</v>
      </c>
      <c r="M58" s="12" t="s">
        <v>309</v>
      </c>
      <c r="N58" s="12" t="s">
        <v>27</v>
      </c>
      <c r="O58" s="133" t="s">
        <v>318</v>
      </c>
      <c r="P58" s="133" t="s">
        <v>319</v>
      </c>
      <c r="Q58" s="133" t="s">
        <v>320</v>
      </c>
      <c r="R58" s="133" t="s">
        <v>310</v>
      </c>
      <c r="S58" s="133" t="s">
        <v>311</v>
      </c>
      <c r="T58" s="133" t="s">
        <v>321</v>
      </c>
      <c r="U58" s="133" t="s">
        <v>310</v>
      </c>
      <c r="V58" s="133" t="s">
        <v>311</v>
      </c>
      <c r="W58" s="133" t="s">
        <v>312</v>
      </c>
      <c r="X58" s="12" t="s">
        <v>313</v>
      </c>
      <c r="Y58" s="133" t="s">
        <v>322</v>
      </c>
      <c r="Z58" s="12" t="s">
        <v>315</v>
      </c>
      <c r="AA58" s="12" t="s">
        <v>308</v>
      </c>
      <c r="AB58" s="12" t="s">
        <v>309</v>
      </c>
      <c r="AC58" s="12" t="s">
        <v>307</v>
      </c>
      <c r="AD58" s="12" t="s">
        <v>308</v>
      </c>
      <c r="AE58" s="12" t="s">
        <v>309</v>
      </c>
      <c r="AF58" s="12" t="s">
        <v>307</v>
      </c>
      <c r="AH58" s="12" t="s">
        <v>328</v>
      </c>
      <c r="AI58" s="12" t="s">
        <v>329</v>
      </c>
      <c r="AJ58" s="133" t="s">
        <v>330</v>
      </c>
      <c r="AK58" s="133" t="s">
        <v>331</v>
      </c>
      <c r="AL58" s="133" t="s">
        <v>332</v>
      </c>
      <c r="AM58" s="133" t="s">
        <v>333</v>
      </c>
    </row>
    <row r="59" spans="2:39" x14ac:dyDescent="0.35">
      <c r="B59" s="7" t="s">
        <v>43</v>
      </c>
      <c r="C59" s="97">
        <v>212</v>
      </c>
      <c r="D59" s="97">
        <v>459</v>
      </c>
      <c r="E59" s="98">
        <f>SUM(C59:D59)</f>
        <v>671</v>
      </c>
      <c r="F59" s="97">
        <v>9644.4210000000003</v>
      </c>
      <c r="G59" s="97">
        <v>9970.9710000000014</v>
      </c>
      <c r="H59" s="97">
        <f>SUMPRODUCT(C59:D59,F59:G59)/E59</f>
        <v>9867.7987198211631</v>
      </c>
      <c r="I59" s="97">
        <v>38336.547307911213</v>
      </c>
      <c r="J59" s="97">
        <v>49455.626594345835</v>
      </c>
      <c r="K59" s="97">
        <f>SUMPRODUCT(C59:D59,I59:J59)/E59</f>
        <v>45942.594092521489</v>
      </c>
      <c r="L59" s="97">
        <v>358859</v>
      </c>
      <c r="M59" s="97">
        <v>0</v>
      </c>
      <c r="N59" s="98">
        <f>SUM(L59:M59)</f>
        <v>358859</v>
      </c>
      <c r="O59" s="97">
        <v>3796.4574481883769</v>
      </c>
      <c r="P59" s="97">
        <v>0</v>
      </c>
      <c r="Q59" s="97">
        <f>SUMPRODUCT(L59:M59,O59:P59)/N59</f>
        <v>3796.4574481883765</v>
      </c>
      <c r="R59" s="97">
        <v>3437.2803834422261</v>
      </c>
      <c r="S59" s="97">
        <v>0</v>
      </c>
      <c r="T59" s="97">
        <v>625</v>
      </c>
      <c r="U59" s="97">
        <f t="shared" ref="U59:U63" si="42">MAX(O59-T59,R59)</f>
        <v>3437.2803834422261</v>
      </c>
      <c r="V59" s="97">
        <f t="shared" ref="V59:V63" si="43">MAX(P59-T59,S59)</f>
        <v>0</v>
      </c>
      <c r="W59" s="97">
        <f t="shared" ref="W59:W63" si="44">SUMPRODUCT(L59:M59,U59:V59)/N59</f>
        <v>3437.2803834422261</v>
      </c>
      <c r="X59" s="97">
        <v>2918.5883172917497</v>
      </c>
      <c r="Y59" s="97">
        <f t="shared" ref="Y59:Y63" si="45">MIN(W59-X59,120)</f>
        <v>120</v>
      </c>
      <c r="Z59" s="97">
        <f t="shared" ref="Z59:Z70" si="46">W59-Y59</f>
        <v>3317.2803834422261</v>
      </c>
      <c r="AA59" s="97">
        <v>4030.6610848333512</v>
      </c>
      <c r="AB59" s="97">
        <v>0</v>
      </c>
      <c r="AC59" s="97">
        <f>SUMPRODUCT(L59:M59,AA59:AB59)/N59</f>
        <v>4030.6610848333512</v>
      </c>
      <c r="AD59" s="97">
        <v>4029.8601490230285</v>
      </c>
      <c r="AE59" s="97">
        <v>0</v>
      </c>
      <c r="AF59" s="97">
        <f>SUMPRODUCT(L59:M59,AD59:AE59)/N59</f>
        <v>4029.8601490230285</v>
      </c>
      <c r="AH59" s="97">
        <f>(E41*H41+E59*H59)/(E41+E59)</f>
        <v>9674.0926120218592</v>
      </c>
      <c r="AI59" s="97">
        <f>(E41*K41+E59*K59)/(E41+E59)</f>
        <v>45232.806865344712</v>
      </c>
      <c r="AJ59" s="97">
        <f>(N41*X41+N59*X59)/(N41+N59)</f>
        <v>3045.5348657710401</v>
      </c>
      <c r="AK59" s="97">
        <f>(N41*Z41+N59*Z59)/(N41+N59)</f>
        <v>3365.0096481210621</v>
      </c>
      <c r="AL59" s="97">
        <f>(N41*AC41+N59*AC59)/(N41+N59)</f>
        <v>4018.03158169566</v>
      </c>
      <c r="AM59" s="97">
        <f>(N41*AF41+N59*AF59)/(N41+N59)</f>
        <v>4017.8036799999991</v>
      </c>
    </row>
    <row r="60" spans="2:39" x14ac:dyDescent="0.35">
      <c r="B60" s="7" t="s">
        <v>150</v>
      </c>
      <c r="C60" s="97">
        <v>3688.26</v>
      </c>
      <c r="D60" s="97">
        <v>844.3</v>
      </c>
      <c r="E60" s="98">
        <f t="shared" ref="E60:E63" si="47">SUM(C60:D60)</f>
        <v>4532.5600000000004</v>
      </c>
      <c r="F60" s="97">
        <v>9641.6220000000012</v>
      </c>
      <c r="G60" s="97">
        <v>9989.6310000000012</v>
      </c>
      <c r="H60" s="97">
        <f>SUMPRODUCT(C60:D60,F60:G60)/E60</f>
        <v>9706.4471757726333</v>
      </c>
      <c r="I60" s="97">
        <v>49556.043635537811</v>
      </c>
      <c r="J60" s="97">
        <v>51930.365678234324</v>
      </c>
      <c r="K60" s="97">
        <f>SUMPRODUCT(C60:D60,I60:J60)/E60</f>
        <v>49998.319104731519</v>
      </c>
      <c r="L60" s="97">
        <v>3681604.7361290324</v>
      </c>
      <c r="M60" s="97">
        <v>0</v>
      </c>
      <c r="N60" s="98">
        <f t="shared" ref="N60:N72" si="48">SUM(L60:M60)</f>
        <v>3681604.7361290324</v>
      </c>
      <c r="O60" s="97">
        <v>4038</v>
      </c>
      <c r="P60" s="97">
        <v>0</v>
      </c>
      <c r="Q60" s="97">
        <f>SUMPRODUCT(L60:M60,O60:P60)/N60</f>
        <v>4038</v>
      </c>
      <c r="R60" s="97">
        <v>3192</v>
      </c>
      <c r="S60" s="97">
        <v>0</v>
      </c>
      <c r="T60" s="97">
        <v>625</v>
      </c>
      <c r="U60" s="97">
        <f t="shared" si="42"/>
        <v>3413</v>
      </c>
      <c r="V60" s="97">
        <f t="shared" si="43"/>
        <v>0</v>
      </c>
      <c r="W60" s="97">
        <f t="shared" si="44"/>
        <v>3413</v>
      </c>
      <c r="X60" s="97">
        <v>3079</v>
      </c>
      <c r="Y60" s="97">
        <f t="shared" si="45"/>
        <v>120</v>
      </c>
      <c r="Z60" s="97">
        <f t="shared" si="46"/>
        <v>3293</v>
      </c>
      <c r="AA60" s="97">
        <v>3440.5968300693762</v>
      </c>
      <c r="AB60" s="97">
        <v>0</v>
      </c>
      <c r="AC60" s="97">
        <f>SUMPRODUCT(L60:M60,AA60:AB60)/N60</f>
        <v>3440.5968300693762</v>
      </c>
      <c r="AD60" s="97">
        <v>3458.9022816744164</v>
      </c>
      <c r="AE60" s="97">
        <v>0</v>
      </c>
      <c r="AF60" s="97">
        <f>SUMPRODUCT(L60:M60,AD60:AE60)/N60</f>
        <v>3458.9022816744164</v>
      </c>
      <c r="AH60" s="97">
        <f t="shared" ref="AH60:AH63" si="49">(E42*H42+E60*H60)/(E42+E60)</f>
        <v>9613.3723571638384</v>
      </c>
      <c r="AI60" s="97">
        <f t="shared" ref="AI60:AI63" si="50">(E42*K42+E60*K60)/(E42+E60)</f>
        <v>44782.361677164015</v>
      </c>
      <c r="AJ60" s="97">
        <f t="shared" ref="AJ60:AJ63" si="51">(N42*X42+N60*X60)/(N42+N60)</f>
        <v>3106.3679458366528</v>
      </c>
      <c r="AK60" s="97">
        <f t="shared" ref="AK60:AK63" si="52">(N42*Z42+N60*Z60)/(N42+N60)</f>
        <v>3282.2483069927439</v>
      </c>
      <c r="AL60" s="97">
        <f t="shared" ref="AL60:AL63" si="53">(N42*AC42+N60*AC60)/(N42+N60)</f>
        <v>3379.790211032659</v>
      </c>
      <c r="AM60" s="97">
        <f t="shared" ref="AM60:AM71" si="54">(N42*AF42+N60*AF60)/(N42+N60)</f>
        <v>3394.2268604971168</v>
      </c>
    </row>
    <row r="61" spans="2:39" x14ac:dyDescent="0.35">
      <c r="B61" s="7" t="s">
        <v>151</v>
      </c>
      <c r="C61" s="97">
        <v>3688.26</v>
      </c>
      <c r="D61" s="97">
        <v>844.3</v>
      </c>
      <c r="E61" s="98">
        <f t="shared" si="47"/>
        <v>4532.5600000000004</v>
      </c>
      <c r="F61" s="97">
        <v>9469.2689100000007</v>
      </c>
      <c r="G61" s="97">
        <v>10078.807140000001</v>
      </c>
      <c r="H61" s="97">
        <f>SUMPRODUCT(C61:D61,F61:G61)/E61</f>
        <v>9582.8102922627841</v>
      </c>
      <c r="I61" s="97">
        <v>46212.8845698035</v>
      </c>
      <c r="J61" s="97">
        <v>52318.961640812624</v>
      </c>
      <c r="K61" s="97">
        <f>SUMPRODUCT(C61:D61,I61:J61)/E61</f>
        <v>47350.290554733205</v>
      </c>
      <c r="L61" s="97">
        <v>1628563.89</v>
      </c>
      <c r="M61" s="97">
        <v>0</v>
      </c>
      <c r="N61" s="98">
        <f t="shared" si="48"/>
        <v>1628563.89</v>
      </c>
      <c r="O61" s="97">
        <v>3906.56</v>
      </c>
      <c r="P61" s="97">
        <v>0</v>
      </c>
      <c r="Q61" s="97">
        <f>SUMPRODUCT(L61:M61,O61:P61)/N61</f>
        <v>3906.56</v>
      </c>
      <c r="R61" s="97">
        <v>3251.91</v>
      </c>
      <c r="S61" s="97">
        <v>0</v>
      </c>
      <c r="T61" s="97">
        <v>625</v>
      </c>
      <c r="U61" s="97">
        <f t="shared" si="42"/>
        <v>3281.56</v>
      </c>
      <c r="V61" s="97">
        <f t="shared" si="43"/>
        <v>0</v>
      </c>
      <c r="W61" s="97">
        <f t="shared" si="44"/>
        <v>3281.56</v>
      </c>
      <c r="X61" s="97">
        <v>2971.36</v>
      </c>
      <c r="Y61" s="97">
        <f t="shared" si="45"/>
        <v>120</v>
      </c>
      <c r="Z61" s="97">
        <f t="shared" si="46"/>
        <v>3161.56</v>
      </c>
      <c r="AA61" s="97">
        <v>3303.9104952045145</v>
      </c>
      <c r="AB61" s="97">
        <v>0</v>
      </c>
      <c r="AC61" s="97">
        <f>SUMPRODUCT(L61:M61,AA61:AB61)/N61</f>
        <v>3303.9104952045145</v>
      </c>
      <c r="AD61" s="97">
        <v>3281.3015692208223</v>
      </c>
      <c r="AE61" s="97">
        <v>0</v>
      </c>
      <c r="AF61" s="97">
        <f>SUMPRODUCT(L61:M61,AD61:AE61)/N61</f>
        <v>3281.3015692208223</v>
      </c>
      <c r="AH61" s="97">
        <f t="shared" si="49"/>
        <v>9447.5262644738559</v>
      </c>
      <c r="AI61" s="97">
        <f t="shared" si="50"/>
        <v>44652.825879922915</v>
      </c>
      <c r="AJ61" s="97">
        <f t="shared" si="51"/>
        <v>2897.8275312260621</v>
      </c>
      <c r="AK61" s="97">
        <f t="shared" si="52"/>
        <v>3118.8320898974907</v>
      </c>
      <c r="AL61" s="97">
        <f t="shared" si="53"/>
        <v>3223.0787030582601</v>
      </c>
      <c r="AM61" s="97">
        <f t="shared" si="54"/>
        <v>3201.0320143384879</v>
      </c>
    </row>
    <row r="62" spans="2:39" x14ac:dyDescent="0.35">
      <c r="B62" s="7" t="s">
        <v>44</v>
      </c>
      <c r="C62" s="97">
        <v>2637.12</v>
      </c>
      <c r="D62" s="97">
        <v>489.65899999999999</v>
      </c>
      <c r="E62" s="98">
        <f t="shared" si="47"/>
        <v>3126.779</v>
      </c>
      <c r="F62" s="97">
        <v>9669.306901301421</v>
      </c>
      <c r="G62" s="97">
        <v>10076.444639890211</v>
      </c>
      <c r="H62" s="97">
        <f>SUMPRODUCT(C62:D62,F62:G62)/E62</f>
        <v>9733.0653754179639</v>
      </c>
      <c r="I62" s="97">
        <v>44631.919085972579</v>
      </c>
      <c r="J62" s="97">
        <v>47100.837827957825</v>
      </c>
      <c r="K62" s="97">
        <f>SUMPRODUCT(C62:D62,I62:J62)/E62</f>
        <v>45018.55603162232</v>
      </c>
      <c r="L62" s="97">
        <v>151596.59</v>
      </c>
      <c r="M62" s="97">
        <v>0</v>
      </c>
      <c r="N62" s="98">
        <f t="shared" si="48"/>
        <v>151596.59</v>
      </c>
      <c r="O62" s="97">
        <v>3682.5147861405417</v>
      </c>
      <c r="P62" s="97">
        <v>0</v>
      </c>
      <c r="Q62" s="97">
        <f>SUMPRODUCT(L62:M62,O62:P62)/N62</f>
        <v>3682.5147861405417</v>
      </c>
      <c r="R62" s="97">
        <v>2789.6755080909043</v>
      </c>
      <c r="S62" s="97">
        <v>0</v>
      </c>
      <c r="T62" s="97">
        <v>625</v>
      </c>
      <c r="U62" s="97">
        <f t="shared" si="42"/>
        <v>3057.5147861405417</v>
      </c>
      <c r="V62" s="97">
        <f t="shared" si="43"/>
        <v>0</v>
      </c>
      <c r="W62" s="97">
        <f t="shared" si="44"/>
        <v>3057.5147861405417</v>
      </c>
      <c r="X62" s="97">
        <v>2791.9189999999999</v>
      </c>
      <c r="Y62" s="97">
        <f t="shared" si="45"/>
        <v>120</v>
      </c>
      <c r="Z62" s="97">
        <f t="shared" si="46"/>
        <v>2937.5147861405417</v>
      </c>
      <c r="AA62" s="97">
        <v>3617.5964241801444</v>
      </c>
      <c r="AB62" s="97">
        <v>0</v>
      </c>
      <c r="AC62" s="97">
        <f>SUMPRODUCT(L62:M62,AA62:AB62)/N62</f>
        <v>3617.5964241801444</v>
      </c>
      <c r="AD62" s="97">
        <v>3612.2879631761075</v>
      </c>
      <c r="AE62" s="97">
        <v>0</v>
      </c>
      <c r="AF62" s="97">
        <f>SUMPRODUCT(L62:M62,AD62:AE62)/N62</f>
        <v>3612.287963176107</v>
      </c>
      <c r="AH62" s="97">
        <f t="shared" si="49"/>
        <v>9598.6635086331298</v>
      </c>
      <c r="AI62" s="97">
        <f t="shared" si="50"/>
        <v>43134.915475092697</v>
      </c>
      <c r="AJ62" s="97">
        <f t="shared" si="51"/>
        <v>2828.5196477825571</v>
      </c>
      <c r="AK62" s="97">
        <f t="shared" si="52"/>
        <v>3021.5480181517573</v>
      </c>
      <c r="AL62" s="97">
        <f t="shared" si="53"/>
        <v>3626.4643093667073</v>
      </c>
      <c r="AM62" s="97">
        <f t="shared" si="54"/>
        <v>3621.1424578274195</v>
      </c>
    </row>
    <row r="63" spans="2:39" x14ac:dyDescent="0.35">
      <c r="B63" s="7" t="s">
        <v>152</v>
      </c>
      <c r="C63" s="97">
        <v>633</v>
      </c>
      <c r="D63" s="97">
        <v>411</v>
      </c>
      <c r="E63" s="98">
        <f t="shared" si="47"/>
        <v>1044</v>
      </c>
      <c r="F63" s="97">
        <v>9762.9120000000003</v>
      </c>
      <c r="G63" s="97">
        <v>10105.323</v>
      </c>
      <c r="H63" s="97">
        <f>SUMPRODUCT(C63:D63,F63:G63)/E63</f>
        <v>9897.711732758622</v>
      </c>
      <c r="I63" s="97">
        <v>36937.068000000007</v>
      </c>
      <c r="J63" s="97">
        <v>47319.879398713376</v>
      </c>
      <c r="K63" s="97">
        <f>SUMPRODUCT(C63:D63,I63:J63)/E63</f>
        <v>41024.554096619926</v>
      </c>
      <c r="L63" s="97">
        <v>897483</v>
      </c>
      <c r="M63" s="97">
        <v>0</v>
      </c>
      <c r="N63" s="98">
        <f t="shared" si="48"/>
        <v>897483</v>
      </c>
      <c r="O63" s="97">
        <v>4087</v>
      </c>
      <c r="P63" s="97">
        <v>0</v>
      </c>
      <c r="Q63" s="97">
        <f>SUMPRODUCT(L63:M63,O63:P63)/N63</f>
        <v>4087</v>
      </c>
      <c r="R63" s="97">
        <v>3028</v>
      </c>
      <c r="S63" s="97">
        <v>0</v>
      </c>
      <c r="T63" s="97">
        <v>625</v>
      </c>
      <c r="U63" s="97">
        <f t="shared" si="42"/>
        <v>3462</v>
      </c>
      <c r="V63" s="97">
        <f t="shared" si="43"/>
        <v>0</v>
      </c>
      <c r="W63" s="97">
        <f t="shared" si="44"/>
        <v>3462</v>
      </c>
      <c r="X63" s="97">
        <v>3132</v>
      </c>
      <c r="Y63" s="97">
        <f t="shared" si="45"/>
        <v>120</v>
      </c>
      <c r="Z63" s="97">
        <f t="shared" si="46"/>
        <v>3342</v>
      </c>
      <c r="AA63" s="97">
        <v>4278.7088084059214</v>
      </c>
      <c r="AB63" s="97">
        <v>0</v>
      </c>
      <c r="AC63" s="97">
        <f>SUMPRODUCT(L63:M63,AA63:AB63)/N63</f>
        <v>4278.7088084059214</v>
      </c>
      <c r="AD63" s="97">
        <v>4284.3057290744864</v>
      </c>
      <c r="AE63" s="97">
        <v>0</v>
      </c>
      <c r="AF63" s="97">
        <f>SUMPRODUCT(L63:M63,AD63:AE63)/N63</f>
        <v>4284.3057290744864</v>
      </c>
      <c r="AH63" s="97">
        <f t="shared" si="49"/>
        <v>9775.4216276073967</v>
      </c>
      <c r="AI63" s="97">
        <f t="shared" si="50"/>
        <v>43516.183772749893</v>
      </c>
      <c r="AJ63" s="97">
        <f t="shared" si="51"/>
        <v>3221.311995213523</v>
      </c>
      <c r="AK63" s="97">
        <f t="shared" si="52"/>
        <v>3333.6270004487324</v>
      </c>
      <c r="AL63" s="97">
        <f t="shared" si="53"/>
        <v>4359.2388535919245</v>
      </c>
      <c r="AM63" s="97">
        <f t="shared" si="54"/>
        <v>4364.31614586657</v>
      </c>
    </row>
    <row r="64" spans="2:39" x14ac:dyDescent="0.35">
      <c r="B64" s="7" t="s">
        <v>154</v>
      </c>
      <c r="C64" s="97"/>
      <c r="D64" s="97"/>
      <c r="E64" s="98"/>
      <c r="F64" s="97"/>
      <c r="G64" s="97"/>
      <c r="H64" s="97"/>
      <c r="I64" s="97"/>
      <c r="J64" s="97"/>
      <c r="K64" s="97"/>
      <c r="L64" s="97">
        <v>254052.80200000003</v>
      </c>
      <c r="M64" s="97"/>
      <c r="N64" s="98">
        <f t="shared" si="48"/>
        <v>254052.80200000003</v>
      </c>
      <c r="O64" s="97"/>
      <c r="P64" s="97"/>
      <c r="Q64" s="97"/>
      <c r="R64" s="97"/>
      <c r="S64" s="97"/>
      <c r="T64" s="97"/>
      <c r="U64" s="97"/>
      <c r="V64" s="97"/>
      <c r="W64" s="97">
        <v>8308.8405471121641</v>
      </c>
      <c r="X64" s="97"/>
      <c r="Y64" s="97">
        <v>0</v>
      </c>
      <c r="Z64" s="97">
        <f t="shared" si="46"/>
        <v>8308.8405471121641</v>
      </c>
      <c r="AA64" s="97">
        <v>8410.1415951171348</v>
      </c>
      <c r="AB64" s="97"/>
      <c r="AC64" s="97">
        <f>AA64</f>
        <v>8410.1415951171348</v>
      </c>
      <c r="AD64" s="97">
        <f>AC64</f>
        <v>8410.1415951171348</v>
      </c>
      <c r="AE64" s="97"/>
      <c r="AF64" s="97">
        <f>AD64</f>
        <v>8410.1415951171348</v>
      </c>
      <c r="AH64" s="97"/>
      <c r="AI64" s="97"/>
      <c r="AJ64" s="97">
        <f>AK64</f>
        <v>8384.8484836871485</v>
      </c>
      <c r="AK64" s="97">
        <f>(N46*W46+N64*W64)/(N46+N64)</f>
        <v>8384.8484836871485</v>
      </c>
      <c r="AL64" s="97">
        <f>AM64</f>
        <v>6813.5389000000005</v>
      </c>
      <c r="AM64" s="97">
        <f t="shared" si="54"/>
        <v>6813.5389000000005</v>
      </c>
    </row>
    <row r="65" spans="2:39" x14ac:dyDescent="0.35">
      <c r="B65" s="7" t="s">
        <v>155</v>
      </c>
      <c r="C65" s="97">
        <v>773.45</v>
      </c>
      <c r="D65" s="97">
        <v>407.65600000000001</v>
      </c>
      <c r="E65" s="98">
        <f t="shared" ref="E65:E70" si="55">SUM(C65:D65)</f>
        <v>1181.106</v>
      </c>
      <c r="F65" s="97">
        <v>9529.6620000000003</v>
      </c>
      <c r="G65" s="97">
        <v>9790.902</v>
      </c>
      <c r="H65" s="97">
        <f t="shared" ref="H65:H70" si="56">SUMPRODUCT(C65:D65,F65:G65)/E65</f>
        <v>9619.8283808667456</v>
      </c>
      <c r="I65" s="97">
        <v>42606.923824204307</v>
      </c>
      <c r="J65" s="97">
        <v>51205.919999999998</v>
      </c>
      <c r="K65" s="97">
        <f t="shared" ref="K65:K70" si="57">SUMPRODUCT(C65:D65,I65:J65)/E65</f>
        <v>45574.847435666932</v>
      </c>
      <c r="L65" s="97">
        <v>1071785</v>
      </c>
      <c r="M65" s="97">
        <v>0</v>
      </c>
      <c r="N65" s="98">
        <f t="shared" si="48"/>
        <v>1071785</v>
      </c>
      <c r="O65" s="97">
        <v>4062</v>
      </c>
      <c r="P65" s="97">
        <v>0</v>
      </c>
      <c r="Q65" s="97">
        <f t="shared" ref="Q65:Q71" si="58">SUMPRODUCT(L65:M65,O65:P65)/N65</f>
        <v>4062</v>
      </c>
      <c r="R65" s="97">
        <v>3180</v>
      </c>
      <c r="S65" s="97">
        <v>0</v>
      </c>
      <c r="T65" s="97">
        <v>625</v>
      </c>
      <c r="U65" s="97">
        <f t="shared" ref="U65:U70" si="59">MAX(O65-T65,R65)</f>
        <v>3437</v>
      </c>
      <c r="V65" s="97">
        <f t="shared" ref="V65:V70" si="60">MAX(P65-T65,S65)</f>
        <v>0</v>
      </c>
      <c r="W65" s="97">
        <f t="shared" ref="W65:W70" si="61">SUMPRODUCT(L65:M65,U65:V65)/N65</f>
        <v>3437</v>
      </c>
      <c r="X65" s="97">
        <v>3157</v>
      </c>
      <c r="Y65" s="97">
        <f t="shared" ref="Y65:Y70" si="62">MIN(W65-X65,120)</f>
        <v>120</v>
      </c>
      <c r="Z65" s="97">
        <f t="shared" si="46"/>
        <v>3317</v>
      </c>
      <c r="AA65" s="97">
        <v>4013.0649929183733</v>
      </c>
      <c r="AB65" s="97">
        <v>0</v>
      </c>
      <c r="AC65" s="97">
        <f t="shared" ref="AC65:AC71" si="63">SUMPRODUCT(L65:M65,AA65:AB65)/N65</f>
        <v>4013.0649929183733</v>
      </c>
      <c r="AD65" s="97">
        <v>4013.865760264327</v>
      </c>
      <c r="AE65" s="97">
        <v>0</v>
      </c>
      <c r="AF65" s="97">
        <f t="shared" ref="AF65:AF71" si="64">SUMPRODUCT(L65:M65,AD65:AE65)/N65</f>
        <v>4013.865760264327</v>
      </c>
      <c r="AH65" s="97">
        <f t="shared" ref="AH65:AH71" si="65">(E47*H47+E65*H65)/(E47+E65)</f>
        <v>9454.3659578436018</v>
      </c>
      <c r="AI65" s="97">
        <f t="shared" ref="AI65:AI71" si="66">(E47*K47+E65*K65)/(E47+E65)</f>
        <v>41045.365463420079</v>
      </c>
      <c r="AJ65" s="97">
        <f t="shared" ref="AJ65:AJ71" si="67">(N47*X47+N65*X65)/(N47+N65)</f>
        <v>3198.2608120112604</v>
      </c>
      <c r="AK65" s="97">
        <f t="shared" ref="AK65:AK71" si="68">(N47*Z47+N65*Z65)/(N47+N65)</f>
        <v>3316.5363953706601</v>
      </c>
      <c r="AL65" s="97">
        <f t="shared" ref="AL65:AL71" si="69">(N47*AC47+N65*AC65)/(N47+N65)</f>
        <v>3980.9056888733198</v>
      </c>
      <c r="AM65" s="97">
        <f t="shared" si="54"/>
        <v>3981.6999724886191</v>
      </c>
    </row>
    <row r="66" spans="2:39" x14ac:dyDescent="0.35">
      <c r="B66" s="7" t="s">
        <v>156</v>
      </c>
      <c r="C66" s="97">
        <v>2911.34</v>
      </c>
      <c r="D66" s="97">
        <v>429.56</v>
      </c>
      <c r="E66" s="98">
        <f t="shared" si="55"/>
        <v>3340.9</v>
      </c>
      <c r="F66" s="97">
        <v>9606.1679999999997</v>
      </c>
      <c r="G66" s="97">
        <v>9722.7929999999997</v>
      </c>
      <c r="H66" s="97">
        <f t="shared" si="56"/>
        <v>9621.1631914154859</v>
      </c>
      <c r="I66" s="97">
        <v>37578.97202999999</v>
      </c>
      <c r="J66" s="97">
        <v>44070.737450035609</v>
      </c>
      <c r="K66" s="97">
        <f t="shared" si="57"/>
        <v>38413.658118727733</v>
      </c>
      <c r="L66" s="97">
        <v>738061.82</v>
      </c>
      <c r="M66" s="97">
        <v>0</v>
      </c>
      <c r="N66" s="98">
        <f t="shared" si="48"/>
        <v>738061.82</v>
      </c>
      <c r="O66" s="97">
        <v>4074</v>
      </c>
      <c r="P66" s="97">
        <v>0</v>
      </c>
      <c r="Q66" s="97">
        <f t="shared" si="58"/>
        <v>4074</v>
      </c>
      <c r="R66" s="97">
        <v>3436</v>
      </c>
      <c r="S66" s="97">
        <v>0</v>
      </c>
      <c r="T66" s="97">
        <v>625</v>
      </c>
      <c r="U66" s="97">
        <f t="shared" si="59"/>
        <v>3449</v>
      </c>
      <c r="V66" s="97">
        <f t="shared" si="60"/>
        <v>0</v>
      </c>
      <c r="W66" s="97">
        <f t="shared" si="61"/>
        <v>3449</v>
      </c>
      <c r="X66" s="97">
        <v>3233</v>
      </c>
      <c r="Y66" s="97">
        <f t="shared" si="62"/>
        <v>120</v>
      </c>
      <c r="Z66" s="97">
        <f t="shared" si="46"/>
        <v>3329</v>
      </c>
      <c r="AA66" s="97">
        <v>4719.7062607903545</v>
      </c>
      <c r="AB66" s="97">
        <v>0</v>
      </c>
      <c r="AC66" s="97">
        <f t="shared" si="63"/>
        <v>4719.7062607903545</v>
      </c>
      <c r="AD66" s="97">
        <v>4732.4478807946025</v>
      </c>
      <c r="AE66" s="97">
        <v>0</v>
      </c>
      <c r="AF66" s="97">
        <f t="shared" si="64"/>
        <v>4732.4478807946025</v>
      </c>
      <c r="AH66" s="97">
        <f t="shared" si="65"/>
        <v>9595.5846423596158</v>
      </c>
      <c r="AI66" s="97">
        <f t="shared" si="66"/>
        <v>38246.12972925404</v>
      </c>
      <c r="AJ66" s="97">
        <f t="shared" si="67"/>
        <v>3229.8725280943654</v>
      </c>
      <c r="AK66" s="97">
        <f t="shared" si="68"/>
        <v>3288.3428652267476</v>
      </c>
      <c r="AL66" s="97">
        <f t="shared" si="69"/>
        <v>4719.7062607903545</v>
      </c>
      <c r="AM66" s="97">
        <f t="shared" si="54"/>
        <v>4732.4478807946034</v>
      </c>
    </row>
    <row r="67" spans="2:39" x14ac:dyDescent="0.35">
      <c r="B67" s="7" t="s">
        <v>8</v>
      </c>
      <c r="C67" s="97">
        <v>135.52000000000001</v>
      </c>
      <c r="D67" s="97">
        <v>80.12</v>
      </c>
      <c r="E67" s="98">
        <f t="shared" si="55"/>
        <v>215.64000000000001</v>
      </c>
      <c r="F67" s="97">
        <v>9469.2689100000007</v>
      </c>
      <c r="G67" s="97">
        <v>10078.807140000001</v>
      </c>
      <c r="H67" s="97">
        <f t="shared" si="56"/>
        <v>9695.7398939899849</v>
      </c>
      <c r="I67" s="97">
        <v>46269.660414563594</v>
      </c>
      <c r="J67" s="97">
        <v>52318.961640812624</v>
      </c>
      <c r="K67" s="97">
        <f t="shared" si="57"/>
        <v>48517.24905418088</v>
      </c>
      <c r="L67" s="97">
        <v>732987.4</v>
      </c>
      <c r="M67" s="97">
        <v>0</v>
      </c>
      <c r="N67" s="98">
        <f t="shared" si="48"/>
        <v>732987.4</v>
      </c>
      <c r="O67" s="97">
        <v>3869.72</v>
      </c>
      <c r="P67" s="97">
        <v>0</v>
      </c>
      <c r="Q67" s="97">
        <f t="shared" si="58"/>
        <v>3869.72</v>
      </c>
      <c r="R67" s="97">
        <v>3290.41</v>
      </c>
      <c r="S67" s="97">
        <v>0</v>
      </c>
      <c r="T67" s="97">
        <v>625</v>
      </c>
      <c r="U67" s="97">
        <f t="shared" si="59"/>
        <v>3290.41</v>
      </c>
      <c r="V67" s="97">
        <f t="shared" si="60"/>
        <v>0</v>
      </c>
      <c r="W67" s="97">
        <f t="shared" si="61"/>
        <v>3290.41</v>
      </c>
      <c r="X67" s="97">
        <v>3016.73</v>
      </c>
      <c r="Y67" s="97">
        <f t="shared" si="62"/>
        <v>120</v>
      </c>
      <c r="Z67" s="97">
        <f t="shared" si="46"/>
        <v>3170.41</v>
      </c>
      <c r="AA67" s="97">
        <v>3296.8869058603277</v>
      </c>
      <c r="AB67" s="97">
        <v>0</v>
      </c>
      <c r="AC67" s="97">
        <f t="shared" si="63"/>
        <v>3296.8869058603277</v>
      </c>
      <c r="AD67" s="97">
        <v>3274.2779798766355</v>
      </c>
      <c r="AE67" s="97">
        <v>0</v>
      </c>
      <c r="AF67" s="97">
        <f t="shared" si="64"/>
        <v>3274.2779798766351</v>
      </c>
      <c r="AH67" s="97">
        <f t="shared" si="65"/>
        <v>9440.1530545385467</v>
      </c>
      <c r="AI67" s="97">
        <f t="shared" si="66"/>
        <v>44106.02046377481</v>
      </c>
      <c r="AJ67" s="97">
        <f t="shared" si="67"/>
        <v>2895.6994108294166</v>
      </c>
      <c r="AK67" s="97">
        <f t="shared" si="68"/>
        <v>3115.3199033472201</v>
      </c>
      <c r="AL67" s="97">
        <f t="shared" si="69"/>
        <v>3195.4005762778488</v>
      </c>
      <c r="AM67" s="97">
        <f t="shared" si="54"/>
        <v>3173.4975531914538</v>
      </c>
    </row>
    <row r="68" spans="2:39" x14ac:dyDescent="0.35">
      <c r="B68" s="7" t="s">
        <v>157</v>
      </c>
      <c r="C68" s="97">
        <v>1221</v>
      </c>
      <c r="D68" s="97">
        <v>392</v>
      </c>
      <c r="E68" s="98">
        <f t="shared" si="55"/>
        <v>1613</v>
      </c>
      <c r="F68" s="97">
        <v>9644.4210000000003</v>
      </c>
      <c r="G68" s="97">
        <v>9970.9710000000014</v>
      </c>
      <c r="H68" s="97">
        <f t="shared" si="56"/>
        <v>9723.7809504029774</v>
      </c>
      <c r="I68" s="97">
        <v>40488.564033410294</v>
      </c>
      <c r="J68" s="97">
        <v>51643.400962473417</v>
      </c>
      <c r="K68" s="97">
        <f t="shared" si="57"/>
        <v>43199.472946115035</v>
      </c>
      <c r="L68" s="97">
        <v>2095867</v>
      </c>
      <c r="M68" s="97">
        <v>0</v>
      </c>
      <c r="N68" s="98">
        <f t="shared" si="48"/>
        <v>2095867</v>
      </c>
      <c r="O68" s="97">
        <v>4146.5116685879811</v>
      </c>
      <c r="P68" s="97">
        <v>0</v>
      </c>
      <c r="Q68" s="97">
        <f t="shared" si="58"/>
        <v>4146.5116685879811</v>
      </c>
      <c r="R68" s="97">
        <v>3688.66444173839</v>
      </c>
      <c r="S68" s="97">
        <v>0</v>
      </c>
      <c r="T68" s="97">
        <v>625</v>
      </c>
      <c r="U68" s="97">
        <f t="shared" si="59"/>
        <v>3688.66444173839</v>
      </c>
      <c r="V68" s="97">
        <f t="shared" si="60"/>
        <v>0</v>
      </c>
      <c r="W68" s="97">
        <f t="shared" si="61"/>
        <v>3688.66444173839</v>
      </c>
      <c r="X68" s="97">
        <v>2999.8649999999998</v>
      </c>
      <c r="Y68" s="97">
        <f t="shared" si="62"/>
        <v>120</v>
      </c>
      <c r="Z68" s="97">
        <f t="shared" si="46"/>
        <v>3568.66444173839</v>
      </c>
      <c r="AA68" s="97">
        <v>3991.9048549999993</v>
      </c>
      <c r="AB68" s="97">
        <v>0</v>
      </c>
      <c r="AC68" s="97">
        <f t="shared" si="63"/>
        <v>3991.9048549999993</v>
      </c>
      <c r="AD68" s="97">
        <v>3991.1117329456915</v>
      </c>
      <c r="AE68" s="97">
        <v>0</v>
      </c>
      <c r="AF68" s="97">
        <f t="shared" si="64"/>
        <v>3991.1117329456915</v>
      </c>
      <c r="AH68" s="97">
        <f t="shared" si="65"/>
        <v>9616.8060444500898</v>
      </c>
      <c r="AI68" s="97">
        <f t="shared" si="66"/>
        <v>40713.868678135652</v>
      </c>
      <c r="AJ68" s="97">
        <f t="shared" si="67"/>
        <v>3137.5984723461515</v>
      </c>
      <c r="AK68" s="97">
        <f t="shared" si="68"/>
        <v>3439.7199047418294</v>
      </c>
      <c r="AL68" s="97">
        <f t="shared" si="69"/>
        <v>3986.3920127666393</v>
      </c>
      <c r="AM68" s="97">
        <f t="shared" si="54"/>
        <v>3986.6000386020255</v>
      </c>
    </row>
    <row r="69" spans="2:39" x14ac:dyDescent="0.35">
      <c r="B69" s="7" t="s">
        <v>158</v>
      </c>
      <c r="C69" s="97">
        <v>2659.76</v>
      </c>
      <c r="D69" s="97">
        <v>570.32000000000005</v>
      </c>
      <c r="E69" s="98">
        <f t="shared" si="55"/>
        <v>3230.0800000000004</v>
      </c>
      <c r="F69" s="97">
        <v>9505.4040000000005</v>
      </c>
      <c r="G69" s="97">
        <v>9940.1820000000007</v>
      </c>
      <c r="H69" s="97">
        <f t="shared" si="56"/>
        <v>9582.1707020507238</v>
      </c>
      <c r="I69" s="97">
        <v>48215.187125906094</v>
      </c>
      <c r="J69" s="97">
        <v>49749.468512362902</v>
      </c>
      <c r="K69" s="97">
        <f t="shared" si="57"/>
        <v>48486.08795818394</v>
      </c>
      <c r="L69" s="97">
        <v>10343</v>
      </c>
      <c r="M69" s="97">
        <v>0</v>
      </c>
      <c r="N69" s="98">
        <f t="shared" si="48"/>
        <v>10343</v>
      </c>
      <c r="O69" s="97">
        <v>3791</v>
      </c>
      <c r="P69" s="97">
        <v>0</v>
      </c>
      <c r="Q69" s="97">
        <f t="shared" si="58"/>
        <v>3791</v>
      </c>
      <c r="R69" s="97">
        <v>3453</v>
      </c>
      <c r="S69" s="97">
        <v>0</v>
      </c>
      <c r="T69" s="97">
        <v>625</v>
      </c>
      <c r="U69" s="97">
        <f t="shared" si="59"/>
        <v>3453</v>
      </c>
      <c r="V69" s="97">
        <f t="shared" si="60"/>
        <v>0</v>
      </c>
      <c r="W69" s="97">
        <f t="shared" si="61"/>
        <v>3453</v>
      </c>
      <c r="X69" s="97">
        <v>3458</v>
      </c>
      <c r="Y69" s="97">
        <f t="shared" si="62"/>
        <v>-5</v>
      </c>
      <c r="Z69" s="97">
        <f t="shared" si="46"/>
        <v>3458</v>
      </c>
      <c r="AA69" s="97">
        <v>3712.2337684149843</v>
      </c>
      <c r="AB69" s="97">
        <v>0</v>
      </c>
      <c r="AC69" s="97">
        <f t="shared" si="63"/>
        <v>3712.2337684149843</v>
      </c>
      <c r="AD69" s="97">
        <v>3712.2337684149843</v>
      </c>
      <c r="AE69" s="97">
        <v>0</v>
      </c>
      <c r="AF69" s="97">
        <f t="shared" si="64"/>
        <v>3712.2337684149843</v>
      </c>
      <c r="AH69" s="97">
        <f t="shared" si="65"/>
        <v>9551.35077508209</v>
      </c>
      <c r="AI69" s="97">
        <f t="shared" si="66"/>
        <v>43595.829951705899</v>
      </c>
      <c r="AJ69" s="97">
        <f t="shared" si="67"/>
        <v>3253.2616779830778</v>
      </c>
      <c r="AK69" s="97">
        <f t="shared" si="68"/>
        <v>3253.2616779830778</v>
      </c>
      <c r="AL69" s="97">
        <f t="shared" si="69"/>
        <v>3685.5273697367315</v>
      </c>
      <c r="AM69" s="97">
        <f t="shared" si="54"/>
        <v>3685.5273697367315</v>
      </c>
    </row>
    <row r="70" spans="2:39" x14ac:dyDescent="0.35">
      <c r="B70" s="7" t="s">
        <v>159</v>
      </c>
      <c r="C70" s="97">
        <v>881.7</v>
      </c>
      <c r="D70" s="97">
        <v>197</v>
      </c>
      <c r="E70" s="98">
        <f t="shared" si="55"/>
        <v>1078.7</v>
      </c>
      <c r="F70" s="97">
        <v>9636.0240000000013</v>
      </c>
      <c r="G70" s="97">
        <v>10077.333000000001</v>
      </c>
      <c r="H70" s="97">
        <f t="shared" si="56"/>
        <v>9716.6190431074447</v>
      </c>
      <c r="I70" s="97">
        <v>49772.687523914537</v>
      </c>
      <c r="J70" s="97">
        <v>53669.489024365474</v>
      </c>
      <c r="K70" s="97">
        <f t="shared" si="57"/>
        <v>50484.349613085607</v>
      </c>
      <c r="L70" s="97">
        <v>1776286.2710294516</v>
      </c>
      <c r="M70" s="97">
        <v>0</v>
      </c>
      <c r="N70" s="98">
        <f t="shared" si="48"/>
        <v>1776286.2710294516</v>
      </c>
      <c r="O70" s="97">
        <v>4143</v>
      </c>
      <c r="P70" s="97">
        <v>0</v>
      </c>
      <c r="Q70" s="97">
        <f t="shared" si="58"/>
        <v>4143</v>
      </c>
      <c r="R70" s="97">
        <v>3263</v>
      </c>
      <c r="S70" s="97">
        <v>0</v>
      </c>
      <c r="T70" s="97">
        <v>625</v>
      </c>
      <c r="U70" s="97">
        <f t="shared" si="59"/>
        <v>3518</v>
      </c>
      <c r="V70" s="97">
        <f t="shared" si="60"/>
        <v>0</v>
      </c>
      <c r="W70" s="97">
        <f t="shared" si="61"/>
        <v>3518.0000000000005</v>
      </c>
      <c r="X70" s="97">
        <v>3328</v>
      </c>
      <c r="Y70" s="97">
        <f t="shared" si="62"/>
        <v>120</v>
      </c>
      <c r="Z70" s="97">
        <f t="shared" si="46"/>
        <v>3398.0000000000005</v>
      </c>
      <c r="AA70" s="97">
        <v>3719.6167635746192</v>
      </c>
      <c r="AB70" s="97">
        <v>0</v>
      </c>
      <c r="AC70" s="97">
        <f t="shared" si="63"/>
        <v>3719.6167635746197</v>
      </c>
      <c r="AD70" s="97">
        <v>3725.3278351032941</v>
      </c>
      <c r="AE70" s="97">
        <v>0</v>
      </c>
      <c r="AF70" s="97">
        <f t="shared" si="64"/>
        <v>3725.3278351032941</v>
      </c>
      <c r="AH70" s="97">
        <f t="shared" si="65"/>
        <v>9531.6575735992101</v>
      </c>
      <c r="AI70" s="97">
        <f t="shared" si="66"/>
        <v>44613.733983422571</v>
      </c>
      <c r="AJ70" s="97">
        <f t="shared" si="67"/>
        <v>3306.2437776251218</v>
      </c>
      <c r="AK70" s="97">
        <f t="shared" si="68"/>
        <v>3378.8969754757168</v>
      </c>
      <c r="AL70" s="97">
        <f t="shared" si="69"/>
        <v>3690.6454190207569</v>
      </c>
      <c r="AM70" s="97">
        <f t="shared" si="54"/>
        <v>3699.3723432463862</v>
      </c>
    </row>
    <row r="71" spans="2:39" x14ac:dyDescent="0.35">
      <c r="B71" s="7" t="s">
        <v>160</v>
      </c>
      <c r="C71" s="134" t="s">
        <v>477</v>
      </c>
      <c r="D71" s="134" t="s">
        <v>478</v>
      </c>
      <c r="E71" s="98">
        <f>C71+D71</f>
        <v>669.47</v>
      </c>
      <c r="F71" s="97">
        <v>9606.1679999999997</v>
      </c>
      <c r="G71" s="97">
        <v>9722.7929999999997</v>
      </c>
      <c r="H71" s="97">
        <f>(C71*F71+D71*G71)/E71</f>
        <v>9628.8686493942951</v>
      </c>
      <c r="I71" s="97">
        <v>38222.477403513425</v>
      </c>
      <c r="J71" s="97">
        <v>44070.737450035565</v>
      </c>
      <c r="K71" s="97">
        <f>(C71*I71+D71*J71)/E71</f>
        <v>39360.820819442888</v>
      </c>
      <c r="L71" s="97">
        <v>424504.21</v>
      </c>
      <c r="M71" s="97">
        <v>0</v>
      </c>
      <c r="N71" s="98">
        <f t="shared" si="48"/>
        <v>424504.21</v>
      </c>
      <c r="O71" s="97">
        <v>4074</v>
      </c>
      <c r="P71" s="97">
        <v>0</v>
      </c>
      <c r="Q71" s="97">
        <f t="shared" si="58"/>
        <v>4074.0000000000005</v>
      </c>
      <c r="R71" s="97">
        <v>3436</v>
      </c>
      <c r="S71" s="97">
        <v>0</v>
      </c>
      <c r="T71" s="97">
        <v>625</v>
      </c>
      <c r="U71" s="97">
        <f>MAX(O71-T71,R71)</f>
        <v>3449</v>
      </c>
      <c r="V71" s="97">
        <f>MAX(P71-T71,S71)</f>
        <v>0</v>
      </c>
      <c r="W71" s="97">
        <f>SUMPRODUCT(L71:M71,U71:V71)/N71</f>
        <v>3448.9999999999995</v>
      </c>
      <c r="X71" s="97">
        <v>3242</v>
      </c>
      <c r="Y71" s="97">
        <f>MIN(W71-X71,120)</f>
        <v>120</v>
      </c>
      <c r="Z71" s="97">
        <f>W71-Y71</f>
        <v>3328.9999999999995</v>
      </c>
      <c r="AA71" s="97">
        <v>4725.5853714109935</v>
      </c>
      <c r="AB71" s="97">
        <v>0</v>
      </c>
      <c r="AC71" s="97">
        <f t="shared" si="63"/>
        <v>4725.5853714109935</v>
      </c>
      <c r="AD71" s="97">
        <v>4738.3356514209254</v>
      </c>
      <c r="AE71" s="97">
        <v>0</v>
      </c>
      <c r="AF71" s="97">
        <f t="shared" si="64"/>
        <v>4738.3356514209254</v>
      </c>
      <c r="AH71" s="97">
        <f t="shared" si="65"/>
        <v>9502.4968712703194</v>
      </c>
      <c r="AI71" s="97">
        <f t="shared" si="66"/>
        <v>39526.297366124149</v>
      </c>
      <c r="AJ71" s="97">
        <f t="shared" si="67"/>
        <v>3232.3757041800595</v>
      </c>
      <c r="AK71" s="97">
        <f t="shared" si="68"/>
        <v>3281.3159888921109</v>
      </c>
      <c r="AL71" s="97">
        <f t="shared" si="69"/>
        <v>4725.5853714109944</v>
      </c>
      <c r="AM71" s="97">
        <f t="shared" si="54"/>
        <v>4738.3356514209254</v>
      </c>
    </row>
    <row r="72" spans="2:39" x14ac:dyDescent="0.35">
      <c r="B72" s="12" t="s">
        <v>27</v>
      </c>
      <c r="C72" s="98">
        <f>SUM(C59:C71)</f>
        <v>19441.41</v>
      </c>
      <c r="D72" s="98">
        <f>SUM(D59:D71)</f>
        <v>5124.9149999999991</v>
      </c>
      <c r="E72" s="98">
        <f t="shared" ref="E72" si="70">SUM(C72:D72)</f>
        <v>24566.324999999997</v>
      </c>
      <c r="F72" s="97"/>
      <c r="G72" s="97"/>
      <c r="H72" s="97"/>
      <c r="I72" s="97"/>
      <c r="J72" s="97"/>
      <c r="K72" s="97"/>
      <c r="L72" s="98">
        <f>SUM(L59:L71)</f>
        <v>13821994.719158486</v>
      </c>
      <c r="M72" s="98">
        <f>SUM(M59:M71)</f>
        <v>0</v>
      </c>
      <c r="N72" s="98">
        <f t="shared" si="48"/>
        <v>13821994.719158486</v>
      </c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H72" s="97"/>
      <c r="AI72" s="97"/>
      <c r="AJ72" s="97"/>
      <c r="AK72" s="97"/>
      <c r="AL72" s="97"/>
      <c r="AM72" s="97"/>
    </row>
    <row r="73" spans="2:39" x14ac:dyDescent="0.35">
      <c r="B73" s="103"/>
      <c r="C73" s="104"/>
      <c r="D73" s="104"/>
      <c r="E73" s="104"/>
      <c r="F73" s="135"/>
      <c r="G73" s="135"/>
      <c r="H73" s="135"/>
      <c r="I73" s="135"/>
      <c r="J73" s="135"/>
      <c r="K73" s="135"/>
      <c r="L73" s="104"/>
      <c r="M73" s="104"/>
      <c r="N73" s="104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</row>
    <row r="75" spans="2:39" x14ac:dyDescent="0.35">
      <c r="B75" s="3" t="s">
        <v>334</v>
      </c>
    </row>
    <row r="76" spans="2:39" x14ac:dyDescent="0.35">
      <c r="B76" s="187" t="s">
        <v>170</v>
      </c>
      <c r="C76" s="187" t="s">
        <v>298</v>
      </c>
      <c r="D76" s="187"/>
      <c r="E76" s="187"/>
      <c r="F76" s="187" t="s">
        <v>299</v>
      </c>
      <c r="G76" s="187"/>
      <c r="H76" s="187"/>
      <c r="I76" s="187" t="s">
        <v>317</v>
      </c>
      <c r="J76" s="187"/>
      <c r="K76" s="187"/>
      <c r="L76" s="152" t="s">
        <v>301</v>
      </c>
      <c r="M76" s="162"/>
      <c r="N76" s="162"/>
      <c r="O76" s="153"/>
      <c r="P76" s="152" t="s">
        <v>302</v>
      </c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53"/>
      <c r="AC76" s="152" t="s">
        <v>304</v>
      </c>
      <c r="AD76" s="162"/>
      <c r="AE76" s="162"/>
      <c r="AF76" s="153"/>
    </row>
    <row r="77" spans="2:39" ht="30" x14ac:dyDescent="0.35">
      <c r="B77" s="187"/>
      <c r="C77" s="6" t="s">
        <v>305</v>
      </c>
      <c r="D77" s="6" t="s">
        <v>306</v>
      </c>
      <c r="E77" s="6" t="s">
        <v>27</v>
      </c>
      <c r="F77" s="6" t="s">
        <v>305</v>
      </c>
      <c r="G77" s="6" t="s">
        <v>306</v>
      </c>
      <c r="H77" s="6" t="s">
        <v>307</v>
      </c>
      <c r="I77" s="6" t="s">
        <v>305</v>
      </c>
      <c r="J77" s="6" t="s">
        <v>306</v>
      </c>
      <c r="K77" s="6" t="s">
        <v>307</v>
      </c>
      <c r="L77" s="6" t="s">
        <v>308</v>
      </c>
      <c r="M77" s="6" t="s">
        <v>309</v>
      </c>
      <c r="N77" s="6" t="s">
        <v>335</v>
      </c>
      <c r="O77" s="6" t="s">
        <v>27</v>
      </c>
      <c r="P77" s="96" t="s">
        <v>318</v>
      </c>
      <c r="Q77" s="96" t="s">
        <v>319</v>
      </c>
      <c r="R77" s="96" t="s">
        <v>336</v>
      </c>
      <c r="S77" s="96" t="s">
        <v>337</v>
      </c>
      <c r="T77" s="96" t="s">
        <v>338</v>
      </c>
      <c r="U77" s="96" t="s">
        <v>339</v>
      </c>
      <c r="V77" s="96" t="s">
        <v>321</v>
      </c>
      <c r="W77" s="96" t="s">
        <v>310</v>
      </c>
      <c r="X77" s="96" t="s">
        <v>311</v>
      </c>
      <c r="Y77" s="96" t="s">
        <v>340</v>
      </c>
      <c r="Z77" s="96" t="s">
        <v>312</v>
      </c>
      <c r="AA77" s="96" t="s">
        <v>322</v>
      </c>
      <c r="AB77" s="6" t="s">
        <v>315</v>
      </c>
      <c r="AC77" s="6" t="s">
        <v>308</v>
      </c>
      <c r="AD77" s="6" t="s">
        <v>309</v>
      </c>
      <c r="AE77" s="6" t="s">
        <v>335</v>
      </c>
      <c r="AF77" s="6" t="s">
        <v>307</v>
      </c>
    </row>
    <row r="78" spans="2:39" x14ac:dyDescent="0.35">
      <c r="B78" s="7" t="s">
        <v>43</v>
      </c>
      <c r="C78" s="97">
        <v>902.6970400113629</v>
      </c>
      <c r="D78" s="97">
        <v>701.27966827323053</v>
      </c>
      <c r="E78" s="98">
        <f>SUM(C78:D78)</f>
        <v>1603.9767082845933</v>
      </c>
      <c r="F78" s="97">
        <v>9866.2661897887774</v>
      </c>
      <c r="G78" s="97">
        <v>9141.1225717533489</v>
      </c>
      <c r="H78" s="97">
        <f>SUMPRODUCT(C78:D78,F78:G78)/E78</f>
        <v>9549.2238828277314</v>
      </c>
      <c r="I78" s="97">
        <v>43042.511526228787</v>
      </c>
      <c r="J78" s="97">
        <v>75781.767842008048</v>
      </c>
      <c r="K78" s="97">
        <f>SUMPRODUCT(C78:D78,I78:J78)/E78</f>
        <v>57356.544074242738</v>
      </c>
      <c r="L78" s="97">
        <v>311412.418426811</v>
      </c>
      <c r="M78" s="97">
        <v>64912.016402062676</v>
      </c>
      <c r="N78" s="97">
        <v>472514.28339519689</v>
      </c>
      <c r="O78" s="98">
        <f>SUM(L78:N78)</f>
        <v>848838.7182240705</v>
      </c>
      <c r="P78" s="97">
        <v>4059.1706593877702</v>
      </c>
      <c r="Q78" s="97">
        <v>4836.5765771430242</v>
      </c>
      <c r="R78" s="97">
        <v>3551.274065974626</v>
      </c>
      <c r="S78" s="97">
        <v>3459.1706593877702</v>
      </c>
      <c r="T78" s="97">
        <v>4836.5765771430242</v>
      </c>
      <c r="U78" s="97">
        <v>4071.6582010203492</v>
      </c>
      <c r="V78" s="97">
        <v>600</v>
      </c>
      <c r="W78" s="97">
        <f>MAX(P78-V78,S78)</f>
        <v>3459.1706593877702</v>
      </c>
      <c r="X78" s="97">
        <f>MAX(Q78-V78,T78)</f>
        <v>4836.5765771430242</v>
      </c>
      <c r="Y78" s="97">
        <f>MAX(R78-V78,U78)</f>
        <v>4071.6582010203492</v>
      </c>
      <c r="Z78" s="97">
        <f>SUMPRODUCT(L78:N78,W78:Y78)/O78</f>
        <v>3905.4501459564226</v>
      </c>
      <c r="AA78" s="97">
        <v>120</v>
      </c>
      <c r="AB78" s="97">
        <f>Z78-AA78</f>
        <v>3785.4501459564226</v>
      </c>
      <c r="AC78" s="97">
        <v>4161.7222273896959</v>
      </c>
      <c r="AD78" s="97">
        <v>17067.947529199289</v>
      </c>
      <c r="AE78" s="97">
        <v>4762.8477430441662</v>
      </c>
      <c r="AF78" s="97">
        <f>SUMPRODUCT(L78:N78,AC78:AE78)/O78</f>
        <v>5483.3036734939178</v>
      </c>
    </row>
    <row r="79" spans="2:39" x14ac:dyDescent="0.35">
      <c r="B79" s="7" t="s">
        <v>150</v>
      </c>
      <c r="C79" s="97">
        <v>10169.646220341228</v>
      </c>
      <c r="D79" s="97">
        <v>1417.6654479762235</v>
      </c>
      <c r="E79" s="98">
        <f t="shared" ref="E79:E82" si="71">SUM(C79:D79)</f>
        <v>11587.311668317452</v>
      </c>
      <c r="F79" s="97">
        <v>9666.1118060449498</v>
      </c>
      <c r="G79" s="97">
        <v>9467.5484606933314</v>
      </c>
      <c r="H79" s="97">
        <f>SUMPRODUCT(C79:D79,F79:G79)/E79</f>
        <v>9641.818302771946</v>
      </c>
      <c r="I79" s="97">
        <v>58816.566647715343</v>
      </c>
      <c r="J79" s="97">
        <v>66824.3694138055</v>
      </c>
      <c r="K79" s="97">
        <f>SUMPRODUCT(C79:D79,I79:J79)/E79</f>
        <v>59796.292197579911</v>
      </c>
      <c r="L79" s="97">
        <v>8201012.9016224453</v>
      </c>
      <c r="M79" s="97">
        <v>784027.47091279377</v>
      </c>
      <c r="N79" s="97">
        <v>34415.415891911827</v>
      </c>
      <c r="O79" s="98">
        <f t="shared" ref="O79:O90" si="72">SUM(L79:N79)</f>
        <v>9019455.7884271517</v>
      </c>
      <c r="P79" s="97">
        <v>4065.5959893844779</v>
      </c>
      <c r="Q79" s="97">
        <v>4778.5671188146389</v>
      </c>
      <c r="R79" s="97">
        <v>3959.0543298508569</v>
      </c>
      <c r="S79" s="97">
        <v>3465.5959893844779</v>
      </c>
      <c r="T79" s="97">
        <v>4778.5671188146389</v>
      </c>
      <c r="U79" s="97">
        <v>4180.9057475742611</v>
      </c>
      <c r="V79" s="97">
        <v>600</v>
      </c>
      <c r="W79" s="97">
        <f>MAX(P79-V79,S79)</f>
        <v>3465.5959893844779</v>
      </c>
      <c r="X79" s="97">
        <f>MAX(Q79-V79,T79)</f>
        <v>4778.5671188146389</v>
      </c>
      <c r="Y79" s="97">
        <f t="shared" ref="Y79:Y90" si="73">MAX(R79-V79,U79)</f>
        <v>4180.9057475742611</v>
      </c>
      <c r="Z79" s="97">
        <f t="shared" ref="Z79:Z90" si="74">SUMPRODUCT(L79:N79,W79:Y79)/O79</f>
        <v>3582.4570441457531</v>
      </c>
      <c r="AA79" s="97">
        <v>120</v>
      </c>
      <c r="AB79" s="97">
        <f>Z79-AA79</f>
        <v>3462.4570441457531</v>
      </c>
      <c r="AC79" s="97">
        <v>3650.0947890820848</v>
      </c>
      <c r="AD79" s="97">
        <v>16608.28</v>
      </c>
      <c r="AE79" s="97">
        <v>4552.0813729632255</v>
      </c>
      <c r="AF79" s="97">
        <f t="shared" ref="AF79:AF90" si="75">SUMPRODUCT(L79:N79,AC79:AE79)/O79</f>
        <v>4779.9429374619785</v>
      </c>
    </row>
    <row r="80" spans="2:39" x14ac:dyDescent="0.35">
      <c r="B80" s="7" t="s">
        <v>151</v>
      </c>
      <c r="C80" s="97">
        <v>5681.9078370270499</v>
      </c>
      <c r="D80" s="97">
        <v>617.54069523893213</v>
      </c>
      <c r="E80" s="98">
        <f t="shared" si="71"/>
        <v>6299.4485322659821</v>
      </c>
      <c r="F80" s="97">
        <v>9705.6002980868761</v>
      </c>
      <c r="G80" s="97">
        <v>9080.8847090037762</v>
      </c>
      <c r="H80" s="97">
        <f>SUMPRODUCT(C80:D80,F80:G80)/E80</f>
        <v>9644.3588581047952</v>
      </c>
      <c r="I80" s="97">
        <v>64073.984876453775</v>
      </c>
      <c r="J80" s="97">
        <v>65487.119075548006</v>
      </c>
      <c r="K80" s="97">
        <f>SUMPRODUCT(C80:D80,I80:J80)/E80</f>
        <v>64212.515713130153</v>
      </c>
      <c r="L80" s="97">
        <v>2575922.6831762842</v>
      </c>
      <c r="M80" s="97">
        <v>255423.75321222356</v>
      </c>
      <c r="N80" s="97">
        <v>1218968.2202929752</v>
      </c>
      <c r="O80" s="98">
        <f t="shared" si="72"/>
        <v>4050314.6566814831</v>
      </c>
      <c r="P80" s="97">
        <v>3828.7279450017354</v>
      </c>
      <c r="Q80" s="97">
        <v>4590.8013211269481</v>
      </c>
      <c r="R80" s="97">
        <v>3478.9381269509217</v>
      </c>
      <c r="S80" s="97">
        <v>3228.7279450017354</v>
      </c>
      <c r="T80" s="97">
        <v>4590.8013211269481</v>
      </c>
      <c r="U80" s="97">
        <v>4029.1585799760564</v>
      </c>
      <c r="V80" s="97">
        <v>600</v>
      </c>
      <c r="W80" s="97">
        <f>MAX(P80-V80,S80)</f>
        <v>3228.7279450017354</v>
      </c>
      <c r="X80" s="97">
        <f>MAX(Q80-V80,T80)</f>
        <v>4590.8013211269481</v>
      </c>
      <c r="Y80" s="97">
        <f t="shared" si="73"/>
        <v>4029.1585799760564</v>
      </c>
      <c r="Z80" s="97">
        <f t="shared" si="74"/>
        <v>3555.5187039072252</v>
      </c>
      <c r="AA80" s="97">
        <v>120</v>
      </c>
      <c r="AB80" s="97">
        <f>Z80-AA80</f>
        <v>3435.5187039072252</v>
      </c>
      <c r="AC80" s="97">
        <v>3500.6487923058166</v>
      </c>
      <c r="AD80" s="97">
        <v>16130.0734259334</v>
      </c>
      <c r="AE80" s="97">
        <v>4124.0103410526217</v>
      </c>
      <c r="AF80" s="97">
        <f t="shared" si="75"/>
        <v>4484.6989949072668</v>
      </c>
    </row>
    <row r="81" spans="2:32" x14ac:dyDescent="0.35">
      <c r="B81" s="7" t="s">
        <v>44</v>
      </c>
      <c r="C81" s="97">
        <v>3277.8232061605859</v>
      </c>
      <c r="D81" s="97">
        <v>567.38390383423462</v>
      </c>
      <c r="E81" s="98">
        <f t="shared" si="71"/>
        <v>3845.2071099948207</v>
      </c>
      <c r="F81" s="97">
        <v>9397.8949744674537</v>
      </c>
      <c r="G81" s="97">
        <v>8875.8471998249988</v>
      </c>
      <c r="H81" s="97">
        <f>SUMPRODUCT(C81:D81,F81:G81)/E81</f>
        <v>9320.8636219572873</v>
      </c>
      <c r="I81" s="97">
        <v>59365.589268659947</v>
      </c>
      <c r="J81" s="97">
        <v>56121.16101071224</v>
      </c>
      <c r="K81" s="97">
        <f>SUMPRODUCT(C81:D81,I81:J81)/E81</f>
        <v>58886.853970912372</v>
      </c>
      <c r="L81" s="97">
        <v>238612.11845640972</v>
      </c>
      <c r="M81" s="97">
        <v>0</v>
      </c>
      <c r="N81" s="97">
        <v>632469.10121879692</v>
      </c>
      <c r="O81" s="98">
        <f t="shared" si="72"/>
        <v>871081.21967520658</v>
      </c>
      <c r="P81" s="97">
        <v>4009.7270286248531</v>
      </c>
      <c r="Q81" s="97">
        <v>0</v>
      </c>
      <c r="R81" s="97">
        <v>3844.9156828107925</v>
      </c>
      <c r="S81" s="97">
        <v>3409.7270286248531</v>
      </c>
      <c r="T81" s="97">
        <v>0</v>
      </c>
      <c r="U81" s="97">
        <v>3936.0816669004239</v>
      </c>
      <c r="V81" s="97">
        <v>600</v>
      </c>
      <c r="W81" s="97">
        <f>MAX(P81-V81,S81)</f>
        <v>3409.7270286248531</v>
      </c>
      <c r="X81" s="97">
        <f>MAX(Q81-V81,T81)</f>
        <v>0</v>
      </c>
      <c r="Y81" s="97">
        <f t="shared" si="73"/>
        <v>3936.0816669004239</v>
      </c>
      <c r="Z81" s="97">
        <f t="shared" si="74"/>
        <v>3791.899250311164</v>
      </c>
      <c r="AA81" s="97">
        <v>120</v>
      </c>
      <c r="AB81" s="97">
        <f>Z81-AA81</f>
        <v>3671.899250311164</v>
      </c>
      <c r="AC81" s="97">
        <v>3495.3447562465922</v>
      </c>
      <c r="AD81" s="97">
        <v>0</v>
      </c>
      <c r="AE81" s="97">
        <v>4639.6232356866949</v>
      </c>
      <c r="AF81" s="97">
        <f t="shared" si="75"/>
        <v>4326.1751829493305</v>
      </c>
    </row>
    <row r="82" spans="2:32" x14ac:dyDescent="0.35">
      <c r="B82" s="7" t="s">
        <v>152</v>
      </c>
      <c r="C82" s="97">
        <v>3218.2155153668482</v>
      </c>
      <c r="D82" s="97">
        <v>450.35279409731947</v>
      </c>
      <c r="E82" s="98">
        <f t="shared" si="71"/>
        <v>3668.5683094641677</v>
      </c>
      <c r="F82" s="97">
        <v>9460.0838077396456</v>
      </c>
      <c r="G82" s="97">
        <v>9147.4938629300214</v>
      </c>
      <c r="H82" s="97">
        <f>SUMPRODUCT(C82:D82,F82:G82)/E82</f>
        <v>9421.7103216337528</v>
      </c>
      <c r="I82" s="97">
        <v>59527.605538041869</v>
      </c>
      <c r="J82" s="97">
        <v>72379.329386940299</v>
      </c>
      <c r="K82" s="97">
        <f>SUMPRODUCT(C82:D82,I82:J82)/E82</f>
        <v>61105.280875144679</v>
      </c>
      <c r="L82" s="97">
        <v>2628191.6114218757</v>
      </c>
      <c r="M82" s="97">
        <v>293936.60741946078</v>
      </c>
      <c r="N82" s="97">
        <v>0</v>
      </c>
      <c r="O82" s="98">
        <f t="shared" si="72"/>
        <v>2922128.2188413367</v>
      </c>
      <c r="P82" s="97">
        <v>4053.3406035617559</v>
      </c>
      <c r="Q82" s="97">
        <v>4825.4238388221811</v>
      </c>
      <c r="R82" s="97">
        <v>0</v>
      </c>
      <c r="S82" s="97">
        <v>3453.3406035617559</v>
      </c>
      <c r="T82" s="97">
        <v>4825.4238388221811</v>
      </c>
      <c r="U82" s="97">
        <v>0</v>
      </c>
      <c r="V82" s="97">
        <v>600</v>
      </c>
      <c r="W82" s="97">
        <f>MAX(P82-V82,S82)</f>
        <v>3453.3406035617559</v>
      </c>
      <c r="X82" s="97">
        <f>MAX(Q82-V82,T82)</f>
        <v>4825.4238388221811</v>
      </c>
      <c r="Y82" s="97">
        <f t="shared" si="73"/>
        <v>0</v>
      </c>
      <c r="Z82" s="97">
        <f t="shared" si="74"/>
        <v>3591.3583293648635</v>
      </c>
      <c r="AA82" s="97">
        <v>120</v>
      </c>
      <c r="AB82" s="97">
        <f>Z82-AA82</f>
        <v>3471.3583293648635</v>
      </c>
      <c r="AC82" s="97">
        <v>4311.35328884314</v>
      </c>
      <c r="AD82" s="97">
        <v>16406.22129904</v>
      </c>
      <c r="AE82" s="97">
        <v>0</v>
      </c>
      <c r="AF82" s="97">
        <f t="shared" si="75"/>
        <v>5527.9749439712923</v>
      </c>
    </row>
    <row r="83" spans="2:32" x14ac:dyDescent="0.35">
      <c r="B83" s="7" t="s">
        <v>154</v>
      </c>
      <c r="C83" s="97"/>
      <c r="D83" s="97"/>
      <c r="E83" s="98"/>
      <c r="F83" s="97"/>
      <c r="G83" s="97"/>
      <c r="H83" s="97"/>
      <c r="I83" s="97"/>
      <c r="J83" s="97"/>
      <c r="K83" s="97"/>
      <c r="L83" s="97"/>
      <c r="M83" s="97"/>
      <c r="N83" s="97"/>
      <c r="O83" s="98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>
        <v>0</v>
      </c>
      <c r="AB83" s="97">
        <v>8345</v>
      </c>
      <c r="AC83" s="97"/>
      <c r="AD83" s="97"/>
      <c r="AE83" s="97"/>
      <c r="AF83" s="97">
        <v>23165.404729277754</v>
      </c>
    </row>
    <row r="84" spans="2:32" x14ac:dyDescent="0.35">
      <c r="B84" s="7" t="s">
        <v>155</v>
      </c>
      <c r="C84" s="97">
        <v>1508.0133098853198</v>
      </c>
      <c r="D84" s="97">
        <v>160.32018202318514</v>
      </c>
      <c r="E84" s="98">
        <f t="shared" ref="E84:E91" si="76">SUM(C84:D84)</f>
        <v>1668.333491908505</v>
      </c>
      <c r="F84" s="97">
        <v>9582.6026213366931</v>
      </c>
      <c r="G84" s="97">
        <v>8837.5633559133112</v>
      </c>
      <c r="H84" s="97">
        <f t="shared" ref="H84:H90" si="77">SUMPRODUCT(C84:D84,F84:G84)/E84</f>
        <v>9511.0073250566566</v>
      </c>
      <c r="I84" s="97">
        <v>62962.145367638994</v>
      </c>
      <c r="J84" s="97">
        <v>64090.637999999999</v>
      </c>
      <c r="K84" s="97">
        <f t="shared" ref="K84:K90" si="78">SUMPRODUCT(C84:D84,I84:J84)/E84</f>
        <v>63070.589000227686</v>
      </c>
      <c r="L84" s="97">
        <v>2246010.9253289523</v>
      </c>
      <c r="M84" s="97">
        <v>0</v>
      </c>
      <c r="N84" s="97">
        <v>0</v>
      </c>
      <c r="O84" s="98">
        <f t="shared" si="72"/>
        <v>2246010.9253289523</v>
      </c>
      <c r="P84" s="97">
        <v>4322.9358305227115</v>
      </c>
      <c r="Q84" s="97">
        <v>0</v>
      </c>
      <c r="R84" s="97">
        <v>0</v>
      </c>
      <c r="S84" s="97">
        <v>3722.9358305227115</v>
      </c>
      <c r="T84" s="97">
        <v>0</v>
      </c>
      <c r="U84" s="97">
        <v>0</v>
      </c>
      <c r="V84" s="97">
        <v>600</v>
      </c>
      <c r="W84" s="97">
        <f t="shared" ref="W84:W90" si="79">MAX(P84-V84,S84)</f>
        <v>3722.9358305227115</v>
      </c>
      <c r="X84" s="97">
        <f t="shared" ref="X84:X90" si="80">MAX(Q84-V84,T84)</f>
        <v>0</v>
      </c>
      <c r="Y84" s="97">
        <f t="shared" si="73"/>
        <v>0</v>
      </c>
      <c r="Z84" s="97">
        <f t="shared" si="74"/>
        <v>3722.9358305227115</v>
      </c>
      <c r="AA84" s="97">
        <v>120</v>
      </c>
      <c r="AB84" s="97">
        <f t="shared" ref="AB84:AB90" si="81">Z84-AA84</f>
        <v>3602.9358305227115</v>
      </c>
      <c r="AC84" s="97">
        <v>4210.3210218600734</v>
      </c>
      <c r="AD84" s="97">
        <v>0</v>
      </c>
      <c r="AE84" s="97">
        <v>0</v>
      </c>
      <c r="AF84" s="97">
        <f t="shared" si="75"/>
        <v>4210.3210218600734</v>
      </c>
    </row>
    <row r="85" spans="2:32" x14ac:dyDescent="0.35">
      <c r="B85" s="7" t="s">
        <v>156</v>
      </c>
      <c r="C85" s="97">
        <v>1656.3291925076883</v>
      </c>
      <c r="D85" s="97">
        <v>96.374731738458664</v>
      </c>
      <c r="E85" s="98">
        <f t="shared" si="76"/>
        <v>1752.7039242461469</v>
      </c>
      <c r="F85" s="97">
        <v>9498.5362145854342</v>
      </c>
      <c r="G85" s="97">
        <v>8926.2254616745995</v>
      </c>
      <c r="H85" s="97">
        <f t="shared" si="77"/>
        <v>9467.0669547065645</v>
      </c>
      <c r="I85" s="97">
        <v>55713.010753817071</v>
      </c>
      <c r="J85" s="97">
        <v>57031.446643547388</v>
      </c>
      <c r="K85" s="97">
        <f t="shared" si="78"/>
        <v>55785.506686204375</v>
      </c>
      <c r="L85" s="97">
        <v>2488605.3280702219</v>
      </c>
      <c r="M85" s="97">
        <v>0</v>
      </c>
      <c r="N85" s="97">
        <v>0</v>
      </c>
      <c r="O85" s="98">
        <f t="shared" si="72"/>
        <v>2488605.3280702219</v>
      </c>
      <c r="P85" s="97">
        <v>4136.1897873240305</v>
      </c>
      <c r="Q85" s="97">
        <v>0</v>
      </c>
      <c r="R85" s="97">
        <v>0</v>
      </c>
      <c r="S85" s="97">
        <v>3536.1897873240305</v>
      </c>
      <c r="T85" s="97">
        <v>0</v>
      </c>
      <c r="U85" s="97">
        <v>0</v>
      </c>
      <c r="V85" s="97">
        <v>600</v>
      </c>
      <c r="W85" s="97">
        <f t="shared" si="79"/>
        <v>3536.1897873240305</v>
      </c>
      <c r="X85" s="97">
        <f t="shared" si="80"/>
        <v>0</v>
      </c>
      <c r="Y85" s="97">
        <f t="shared" si="73"/>
        <v>0</v>
      </c>
      <c r="Z85" s="97">
        <f t="shared" si="74"/>
        <v>3536.1897873240309</v>
      </c>
      <c r="AA85" s="97">
        <v>120</v>
      </c>
      <c r="AB85" s="97">
        <f t="shared" si="81"/>
        <v>3416.1897873240309</v>
      </c>
      <c r="AC85" s="97">
        <v>5608.1737029462101</v>
      </c>
      <c r="AD85" s="97">
        <v>0</v>
      </c>
      <c r="AE85" s="97">
        <v>0</v>
      </c>
      <c r="AF85" s="97">
        <f t="shared" si="75"/>
        <v>5608.1737029462101</v>
      </c>
    </row>
    <row r="86" spans="2:32" x14ac:dyDescent="0.35">
      <c r="B86" s="7" t="s">
        <v>8</v>
      </c>
      <c r="C86" s="97">
        <v>1525.0709105350791</v>
      </c>
      <c r="D86" s="97">
        <v>228.37750550437457</v>
      </c>
      <c r="E86" s="98">
        <f t="shared" si="76"/>
        <v>1753.4484160394536</v>
      </c>
      <c r="F86" s="97">
        <v>9780.5117749093242</v>
      </c>
      <c r="G86" s="97">
        <v>9088.633329352384</v>
      </c>
      <c r="H86" s="97">
        <f t="shared" si="77"/>
        <v>9690.3982180671792</v>
      </c>
      <c r="I86" s="97">
        <v>50177.867327117856</v>
      </c>
      <c r="J86" s="97">
        <v>50659.188731789931</v>
      </c>
      <c r="K86" s="97">
        <f t="shared" si="78"/>
        <v>50240.556928214392</v>
      </c>
      <c r="L86" s="97">
        <v>927328.12662777968</v>
      </c>
      <c r="M86" s="97">
        <v>331864.67096589034</v>
      </c>
      <c r="N86" s="97">
        <v>1022102.7420588918</v>
      </c>
      <c r="O86" s="98">
        <f t="shared" si="72"/>
        <v>2281295.5396525618</v>
      </c>
      <c r="P86" s="97">
        <v>3868.9176549922363</v>
      </c>
      <c r="Q86" s="97">
        <v>4566.063837739106</v>
      </c>
      <c r="R86" s="97">
        <v>3502.1065359856516</v>
      </c>
      <c r="S86" s="97">
        <v>3268.9176549922363</v>
      </c>
      <c r="T86" s="97">
        <v>4566.063837739106</v>
      </c>
      <c r="U86" s="97">
        <v>4020.8440920852686</v>
      </c>
      <c r="V86" s="97">
        <v>600</v>
      </c>
      <c r="W86" s="97">
        <f t="shared" si="79"/>
        <v>3268.9176549922363</v>
      </c>
      <c r="X86" s="97">
        <f t="shared" si="80"/>
        <v>4566.063837739106</v>
      </c>
      <c r="Y86" s="97">
        <f t="shared" si="73"/>
        <v>4020.8440920852686</v>
      </c>
      <c r="Z86" s="97">
        <f t="shared" si="74"/>
        <v>3794.5063143616053</v>
      </c>
      <c r="AA86" s="97">
        <v>120</v>
      </c>
      <c r="AB86" s="97">
        <f t="shared" si="81"/>
        <v>3674.5063143616053</v>
      </c>
      <c r="AC86" s="97">
        <v>3384.4028634527954</v>
      </c>
      <c r="AD86" s="97">
        <v>16130.071339728533</v>
      </c>
      <c r="AE86" s="97">
        <v>4264.7977424898754</v>
      </c>
      <c r="AF86" s="97">
        <f t="shared" si="75"/>
        <v>5632.9896887526074</v>
      </c>
    </row>
    <row r="87" spans="2:32" x14ac:dyDescent="0.35">
      <c r="B87" s="7" t="s">
        <v>157</v>
      </c>
      <c r="C87" s="97">
        <v>2497.2523707031569</v>
      </c>
      <c r="D87" s="97">
        <v>665.3524214381348</v>
      </c>
      <c r="E87" s="98">
        <f t="shared" si="76"/>
        <v>3162.6047921412919</v>
      </c>
      <c r="F87" s="97">
        <v>9979.2989879319121</v>
      </c>
      <c r="G87" s="97">
        <v>9502.2624822922353</v>
      </c>
      <c r="H87" s="97">
        <f t="shared" si="77"/>
        <v>9878.939501052475</v>
      </c>
      <c r="I87" s="97">
        <v>46965.351696732629</v>
      </c>
      <c r="J87" s="97">
        <v>77339.47727193014</v>
      </c>
      <c r="K87" s="97">
        <f t="shared" si="78"/>
        <v>53355.495052849052</v>
      </c>
      <c r="L87" s="97">
        <v>1501544.9510015997</v>
      </c>
      <c r="M87" s="97">
        <v>325847.66878989106</v>
      </c>
      <c r="N87" s="97">
        <v>2104020.7917731991</v>
      </c>
      <c r="O87" s="98">
        <f t="shared" si="72"/>
        <v>3931413.4115646901</v>
      </c>
      <c r="P87" s="97">
        <v>4149.59631586042</v>
      </c>
      <c r="Q87" s="97">
        <v>4826.4483699118955</v>
      </c>
      <c r="R87" s="97">
        <v>3600.8682396155282</v>
      </c>
      <c r="S87" s="97">
        <v>3549.59631586042</v>
      </c>
      <c r="T87" s="97">
        <v>4826.4483699118955</v>
      </c>
      <c r="U87" s="97">
        <v>4128.8338821187663</v>
      </c>
      <c r="V87" s="97">
        <v>600</v>
      </c>
      <c r="W87" s="97">
        <f t="shared" si="79"/>
        <v>3549.59631586042</v>
      </c>
      <c r="X87" s="97">
        <f t="shared" si="80"/>
        <v>4826.4483699118955</v>
      </c>
      <c r="Y87" s="97">
        <f t="shared" si="73"/>
        <v>4128.8338821187663</v>
      </c>
      <c r="Z87" s="97">
        <f t="shared" si="74"/>
        <v>3965.4231386455835</v>
      </c>
      <c r="AA87" s="97">
        <v>120</v>
      </c>
      <c r="AB87" s="97">
        <f t="shared" si="81"/>
        <v>3845.4231386455835</v>
      </c>
      <c r="AC87" s="97">
        <v>4176.4024826848472</v>
      </c>
      <c r="AD87" s="97">
        <v>17067.947529199289</v>
      </c>
      <c r="AE87" s="97">
        <v>5278.3751172815801</v>
      </c>
      <c r="AF87" s="97">
        <f t="shared" si="75"/>
        <v>5834.6491622342692</v>
      </c>
    </row>
    <row r="88" spans="2:32" x14ac:dyDescent="0.35">
      <c r="B88" s="7" t="s">
        <v>158</v>
      </c>
      <c r="C88" s="97">
        <v>5137.7921649807249</v>
      </c>
      <c r="D88" s="97">
        <v>925.89379074509793</v>
      </c>
      <c r="E88" s="98">
        <f t="shared" si="76"/>
        <v>6063.6859557258231</v>
      </c>
      <c r="F88" s="97">
        <v>9343.778473205899</v>
      </c>
      <c r="G88" s="97">
        <v>8942.5975410173287</v>
      </c>
      <c r="H88" s="97">
        <f t="shared" si="77"/>
        <v>9282.5201994775289</v>
      </c>
      <c r="I88" s="97">
        <v>63728.913167473002</v>
      </c>
      <c r="J88" s="97">
        <v>56495.537336583206</v>
      </c>
      <c r="K88" s="97">
        <f t="shared" si="78"/>
        <v>62624.413723265738</v>
      </c>
      <c r="L88" s="97">
        <v>202782.17692807078</v>
      </c>
      <c r="M88" s="97">
        <v>537302.45712132682</v>
      </c>
      <c r="N88" s="97">
        <v>6226530.5786595307</v>
      </c>
      <c r="O88" s="98">
        <f t="shared" si="72"/>
        <v>6966615.2127089286</v>
      </c>
      <c r="P88" s="97">
        <v>3843.8440499993617</v>
      </c>
      <c r="Q88" s="97">
        <v>4766.5449128927103</v>
      </c>
      <c r="R88" s="97">
        <v>3909.6620816578125</v>
      </c>
      <c r="S88" s="97">
        <v>3243.8440499993617</v>
      </c>
      <c r="T88" s="97">
        <v>4766.5449128927103</v>
      </c>
      <c r="U88" s="97">
        <v>3963.1940345790395</v>
      </c>
      <c r="V88" s="97">
        <v>600</v>
      </c>
      <c r="W88" s="97">
        <f t="shared" si="79"/>
        <v>3243.8440499993617</v>
      </c>
      <c r="X88" s="97">
        <f t="shared" si="80"/>
        <v>4766.5449128927103</v>
      </c>
      <c r="Y88" s="97">
        <f t="shared" si="73"/>
        <v>3963.1940345790395</v>
      </c>
      <c r="Z88" s="97">
        <f t="shared" si="74"/>
        <v>4004.2141047676364</v>
      </c>
      <c r="AA88" s="97">
        <v>120</v>
      </c>
      <c r="AB88" s="97">
        <f t="shared" si="81"/>
        <v>3884.2141047676364</v>
      </c>
      <c r="AC88" s="97">
        <v>3424.9814187875659</v>
      </c>
      <c r="AD88" s="97">
        <v>16067.417499999998</v>
      </c>
      <c r="AE88" s="97">
        <v>4242.674517328106</v>
      </c>
      <c r="AF88" s="97">
        <f t="shared" si="75"/>
        <v>5130.8604848190007</v>
      </c>
    </row>
    <row r="89" spans="2:32" x14ac:dyDescent="0.35">
      <c r="B89" s="7" t="s">
        <v>159</v>
      </c>
      <c r="C89" s="97">
        <v>2896.7276558883377</v>
      </c>
      <c r="D89" s="97">
        <v>562.65905668426001</v>
      </c>
      <c r="E89" s="98">
        <f t="shared" si="76"/>
        <v>3459.3867125725978</v>
      </c>
      <c r="F89" s="97">
        <v>9718.9450318124891</v>
      </c>
      <c r="G89" s="97">
        <v>9382.1750460943676</v>
      </c>
      <c r="H89" s="97">
        <f t="shared" si="77"/>
        <v>9664.1703858340352</v>
      </c>
      <c r="I89" s="97">
        <v>55329.686440747457</v>
      </c>
      <c r="J89" s="97">
        <v>63417.995468319015</v>
      </c>
      <c r="K89" s="97">
        <f t="shared" si="78"/>
        <v>56645.226074140985</v>
      </c>
      <c r="L89" s="97">
        <v>3392040.4225869947</v>
      </c>
      <c r="M89" s="97">
        <v>534024.04482332268</v>
      </c>
      <c r="N89" s="97">
        <v>614883.31067885854</v>
      </c>
      <c r="O89" s="98">
        <f t="shared" si="72"/>
        <v>4540947.7780891759</v>
      </c>
      <c r="P89" s="97">
        <v>4122.3173132700131</v>
      </c>
      <c r="Q89" s="97">
        <v>4821.1172985988442</v>
      </c>
      <c r="R89" s="97">
        <v>3801.9280619523593</v>
      </c>
      <c r="S89" s="97">
        <v>3522.3173132700131</v>
      </c>
      <c r="T89" s="97">
        <v>4821.1172985988442</v>
      </c>
      <c r="U89" s="97">
        <v>4120.7052356557724</v>
      </c>
      <c r="V89" s="97">
        <v>600</v>
      </c>
      <c r="W89" s="97">
        <f t="shared" si="79"/>
        <v>3522.3173132700131</v>
      </c>
      <c r="X89" s="97">
        <f t="shared" si="80"/>
        <v>4821.1172985988442</v>
      </c>
      <c r="Y89" s="97">
        <f t="shared" si="73"/>
        <v>4120.7052356557724</v>
      </c>
      <c r="Z89" s="97">
        <f t="shared" si="74"/>
        <v>3756.0855088635913</v>
      </c>
      <c r="AA89" s="97">
        <v>120</v>
      </c>
      <c r="AB89" s="97">
        <f t="shared" si="81"/>
        <v>3636.0855088635913</v>
      </c>
      <c r="AC89" s="97">
        <v>3884.7105971655565</v>
      </c>
      <c r="AD89" s="97">
        <v>16608.28</v>
      </c>
      <c r="AE89" s="97">
        <v>3445.6462935278432</v>
      </c>
      <c r="AF89" s="97">
        <f t="shared" si="75"/>
        <v>5321.5733410960411</v>
      </c>
    </row>
    <row r="90" spans="2:32" x14ac:dyDescent="0.35">
      <c r="B90" s="7" t="s">
        <v>160</v>
      </c>
      <c r="C90" s="97">
        <v>650.95352935030428</v>
      </c>
      <c r="D90" s="97">
        <v>88.660851696660956</v>
      </c>
      <c r="E90" s="98">
        <f t="shared" si="76"/>
        <v>739.61438104696526</v>
      </c>
      <c r="F90" s="97">
        <v>9483.0514288574977</v>
      </c>
      <c r="G90" s="97">
        <v>9022.0205113812171</v>
      </c>
      <c r="H90" s="97">
        <f t="shared" si="77"/>
        <v>9427.785610818537</v>
      </c>
      <c r="I90" s="97">
        <v>53718.725868122507</v>
      </c>
      <c r="J90" s="97">
        <v>54090.829489010546</v>
      </c>
      <c r="K90" s="97">
        <f t="shared" si="78"/>
        <v>53763.33157724981</v>
      </c>
      <c r="L90" s="97">
        <v>1051508.8913667977</v>
      </c>
      <c r="M90" s="97">
        <v>0</v>
      </c>
      <c r="N90" s="97">
        <v>0</v>
      </c>
      <c r="O90" s="98">
        <f t="shared" si="72"/>
        <v>1051508.8913667977</v>
      </c>
      <c r="P90" s="97">
        <v>4131.8141991227503</v>
      </c>
      <c r="Q90" s="97">
        <v>0</v>
      </c>
      <c r="R90" s="97">
        <v>0</v>
      </c>
      <c r="S90" s="97">
        <v>3531.8141991227503</v>
      </c>
      <c r="T90" s="97">
        <v>0</v>
      </c>
      <c r="U90" s="97">
        <v>0</v>
      </c>
      <c r="V90" s="97">
        <v>600</v>
      </c>
      <c r="W90" s="97">
        <f t="shared" si="79"/>
        <v>3531.8141991227503</v>
      </c>
      <c r="X90" s="97">
        <f t="shared" si="80"/>
        <v>0</v>
      </c>
      <c r="Y90" s="97">
        <f t="shared" si="73"/>
        <v>0</v>
      </c>
      <c r="Z90" s="97">
        <f t="shared" si="74"/>
        <v>3531.8141991227503</v>
      </c>
      <c r="AA90" s="97">
        <v>120</v>
      </c>
      <c r="AB90" s="97">
        <f t="shared" si="81"/>
        <v>3411.8141991227503</v>
      </c>
      <c r="AC90" s="97">
        <v>5526.2891092119025</v>
      </c>
      <c r="AD90" s="97">
        <v>0</v>
      </c>
      <c r="AE90" s="97">
        <v>0</v>
      </c>
      <c r="AF90" s="97">
        <f t="shared" si="75"/>
        <v>5526.2891092119025</v>
      </c>
    </row>
    <row r="91" spans="2:32" x14ac:dyDescent="0.35">
      <c r="B91" s="12" t="s">
        <v>27</v>
      </c>
      <c r="C91" s="98">
        <f>SUM(C78:C90)</f>
        <v>39122.428952757691</v>
      </c>
      <c r="D91" s="98">
        <f>SUM(D78:D90)</f>
        <v>6481.861049250113</v>
      </c>
      <c r="E91" s="98">
        <f t="shared" si="76"/>
        <v>45604.290002007801</v>
      </c>
      <c r="F91" s="97"/>
      <c r="G91" s="97"/>
      <c r="H91" s="97"/>
      <c r="I91" s="97"/>
      <c r="J91" s="97"/>
      <c r="K91" s="97"/>
      <c r="L91" s="98">
        <f>SUM(L78:L90)</f>
        <v>25764972.555014245</v>
      </c>
      <c r="M91" s="98">
        <f>SUM(M78:M90)</f>
        <v>3127338.6896469714</v>
      </c>
      <c r="N91" s="98">
        <f>SUM(N78:N90)</f>
        <v>12325904.443969361</v>
      </c>
      <c r="O91" s="98">
        <f>SUM(L91:M91)</f>
        <v>28892311.244661216</v>
      </c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</row>
  </sheetData>
  <mergeCells count="41">
    <mergeCell ref="AC76:AF76"/>
    <mergeCell ref="AA57:AC57"/>
    <mergeCell ref="AD57:AF57"/>
    <mergeCell ref="AH57:AI57"/>
    <mergeCell ref="AJ57:AM57"/>
    <mergeCell ref="P76:AB76"/>
    <mergeCell ref="O57:Z57"/>
    <mergeCell ref="B76:B77"/>
    <mergeCell ref="C76:E76"/>
    <mergeCell ref="F76:H76"/>
    <mergeCell ref="I76:K76"/>
    <mergeCell ref="L76:O76"/>
    <mergeCell ref="B57:B58"/>
    <mergeCell ref="C57:E57"/>
    <mergeCell ref="F57:H57"/>
    <mergeCell ref="I57:K57"/>
    <mergeCell ref="L57:N57"/>
    <mergeCell ref="AA21:AC21"/>
    <mergeCell ref="AD21:AF21"/>
    <mergeCell ref="B39:B40"/>
    <mergeCell ref="C39:E39"/>
    <mergeCell ref="F39:H39"/>
    <mergeCell ref="I39:K39"/>
    <mergeCell ref="L39:N39"/>
    <mergeCell ref="O39:Z39"/>
    <mergeCell ref="AA39:AC39"/>
    <mergeCell ref="AD39:AF39"/>
    <mergeCell ref="U3:W3"/>
    <mergeCell ref="X3:Z3"/>
    <mergeCell ref="B21:B22"/>
    <mergeCell ref="C21:E21"/>
    <mergeCell ref="F21:H21"/>
    <mergeCell ref="I21:K21"/>
    <mergeCell ref="L21:N21"/>
    <mergeCell ref="O21:Z21"/>
    <mergeCell ref="B3:B4"/>
    <mergeCell ref="C3:E3"/>
    <mergeCell ref="F3:H3"/>
    <mergeCell ref="I3:K3"/>
    <mergeCell ref="L3:N3"/>
    <mergeCell ref="O3:T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Z127"/>
  <sheetViews>
    <sheetView showGridLines="0" topLeftCell="A29" workbookViewId="0">
      <selection activeCell="J41" sqref="J41"/>
    </sheetView>
  </sheetViews>
  <sheetFormatPr defaultColWidth="9.1796875" defaultRowHeight="15.5" x14ac:dyDescent="0.35"/>
  <cols>
    <col min="1" max="1" width="9.54296875" style="5" bestFit="1" customWidth="1"/>
    <col min="2" max="2" width="28.453125" style="5" customWidth="1"/>
    <col min="3" max="3" width="11.26953125" style="5" customWidth="1"/>
    <col min="4" max="4" width="12.54296875" style="5" customWidth="1"/>
    <col min="5" max="6" width="11.81640625" style="5" customWidth="1"/>
    <col min="7" max="7" width="12.54296875" style="5" customWidth="1"/>
    <col min="8" max="8" width="11.81640625" style="5" customWidth="1"/>
    <col min="9" max="9" width="11.26953125" style="5" customWidth="1"/>
    <col min="10" max="10" width="12.54296875" style="5" customWidth="1"/>
    <col min="11" max="11" width="11.81640625" style="5" customWidth="1"/>
    <col min="12" max="12" width="11.26953125" style="5" customWidth="1"/>
    <col min="13" max="13" width="12.54296875" style="5" customWidth="1"/>
    <col min="14" max="14" width="11.81640625" style="5" customWidth="1"/>
    <col min="15" max="15" width="11.26953125" style="5" customWidth="1"/>
    <col min="16" max="16" width="12.54296875" style="5" customWidth="1"/>
    <col min="17" max="17" width="11.81640625" style="5" customWidth="1"/>
    <col min="18" max="18" width="11.26953125" style="5" customWidth="1"/>
    <col min="19" max="19" width="12.54296875" style="5" customWidth="1"/>
    <col min="20" max="20" width="11.81640625" style="5" customWidth="1"/>
    <col min="21" max="22" width="9.1796875" style="5"/>
    <col min="23" max="23" width="32.54296875" style="5" customWidth="1"/>
    <col min="24" max="24" width="12.7265625" style="5" customWidth="1"/>
    <col min="25" max="25" width="22.26953125" style="5" customWidth="1"/>
    <col min="26" max="26" width="14.54296875" style="5" customWidth="1"/>
    <col min="27" max="16384" width="9.1796875" style="5"/>
  </cols>
  <sheetData>
    <row r="2" spans="2:20" x14ac:dyDescent="0.35">
      <c r="B2" s="3" t="s">
        <v>341</v>
      </c>
      <c r="T2" s="3" t="s">
        <v>164</v>
      </c>
    </row>
    <row r="3" spans="2:20" x14ac:dyDescent="0.35">
      <c r="B3" s="187" t="s">
        <v>170</v>
      </c>
      <c r="C3" s="187" t="s">
        <v>31</v>
      </c>
      <c r="D3" s="187"/>
      <c r="E3" s="187"/>
      <c r="F3" s="187" t="s">
        <v>32</v>
      </c>
      <c r="G3" s="187"/>
      <c r="H3" s="187"/>
      <c r="I3" s="187" t="s">
        <v>33</v>
      </c>
      <c r="J3" s="187"/>
      <c r="K3" s="187"/>
      <c r="L3" s="187" t="s">
        <v>34</v>
      </c>
      <c r="M3" s="187"/>
      <c r="N3" s="187"/>
      <c r="O3" s="187" t="s">
        <v>35</v>
      </c>
      <c r="P3" s="187"/>
      <c r="Q3" s="187"/>
      <c r="R3" s="187" t="s">
        <v>127</v>
      </c>
      <c r="S3" s="187"/>
      <c r="T3" s="187"/>
    </row>
    <row r="4" spans="2:20" ht="30" x14ac:dyDescent="0.35">
      <c r="B4" s="187"/>
      <c r="C4" s="96" t="s">
        <v>171</v>
      </c>
      <c r="D4" s="96" t="s">
        <v>131</v>
      </c>
      <c r="E4" s="96" t="s">
        <v>132</v>
      </c>
      <c r="F4" s="96" t="s">
        <v>172</v>
      </c>
      <c r="G4" s="96" t="s">
        <v>131</v>
      </c>
      <c r="H4" s="96" t="s">
        <v>132</v>
      </c>
      <c r="I4" s="96" t="s">
        <v>172</v>
      </c>
      <c r="J4" s="96" t="s">
        <v>131</v>
      </c>
      <c r="K4" s="96" t="s">
        <v>132</v>
      </c>
      <c r="L4" s="96" t="s">
        <v>172</v>
      </c>
      <c r="M4" s="96" t="s">
        <v>131</v>
      </c>
      <c r="N4" s="96" t="s">
        <v>132</v>
      </c>
      <c r="O4" s="96" t="s">
        <v>172</v>
      </c>
      <c r="P4" s="96" t="s">
        <v>131</v>
      </c>
      <c r="Q4" s="96" t="s">
        <v>132</v>
      </c>
      <c r="R4" s="96" t="s">
        <v>172</v>
      </c>
      <c r="S4" s="96" t="s">
        <v>131</v>
      </c>
      <c r="T4" s="96" t="s">
        <v>132</v>
      </c>
    </row>
    <row r="5" spans="2:20" x14ac:dyDescent="0.35">
      <c r="B5" s="7" t="s">
        <v>43</v>
      </c>
      <c r="C5" s="9">
        <v>10.424693359543884</v>
      </c>
      <c r="D5" s="9">
        <v>3.3222862985114685</v>
      </c>
      <c r="E5" s="9">
        <f>K23</f>
        <v>3.131035930557764</v>
      </c>
      <c r="F5" s="9">
        <v>15.667304907670975</v>
      </c>
      <c r="G5" s="9">
        <v>4.6528763239057618</v>
      </c>
      <c r="H5" s="9">
        <f>K41</f>
        <v>4.4844646917467008</v>
      </c>
      <c r="I5" s="9">
        <v>15.621840073469828</v>
      </c>
      <c r="J5" s="9">
        <v>7.0259480630174522</v>
      </c>
      <c r="K5" s="9">
        <f>K59</f>
        <v>6.7031608883095979</v>
      </c>
      <c r="L5" s="9">
        <v>15.889565764759194</v>
      </c>
      <c r="M5" s="9">
        <v>14.990599020500852</v>
      </c>
      <c r="N5" s="9">
        <f ca="1">K77</f>
        <v>15.879959004683128</v>
      </c>
      <c r="O5" s="9">
        <v>16.227395331751502</v>
      </c>
      <c r="P5" s="9">
        <v>18.515916356614305</v>
      </c>
      <c r="Q5" s="9">
        <f ca="1">K95</f>
        <v>19.001893089307703</v>
      </c>
      <c r="R5" s="9">
        <v>16.492887394910014</v>
      </c>
      <c r="S5" s="9">
        <v>19.429641933414132</v>
      </c>
      <c r="T5" s="9">
        <f ca="1">K113</f>
        <v>19.28894466309545</v>
      </c>
    </row>
    <row r="6" spans="2:20" x14ac:dyDescent="0.35">
      <c r="B6" s="7" t="s">
        <v>150</v>
      </c>
      <c r="C6" s="9">
        <v>109.35022887541484</v>
      </c>
      <c r="D6" s="9">
        <v>87.831235630362343</v>
      </c>
      <c r="E6" s="9">
        <f t="shared" ref="E6:E18" si="0">K24</f>
        <v>90.701594645804775</v>
      </c>
      <c r="F6" s="9">
        <v>93.798203391661545</v>
      </c>
      <c r="G6" s="9">
        <v>87.528591444411077</v>
      </c>
      <c r="H6" s="9">
        <f t="shared" ref="H6:H18" si="1">K42</f>
        <v>73.028562161030266</v>
      </c>
      <c r="I6" s="9">
        <v>94.585657349915664</v>
      </c>
      <c r="J6" s="9">
        <v>76.73428581346738</v>
      </c>
      <c r="K6" s="9">
        <f t="shared" ref="K6:K18" si="2">K60</f>
        <v>71.816548375090676</v>
      </c>
      <c r="L6" s="9">
        <v>96.246441130675848</v>
      </c>
      <c r="M6" s="9">
        <v>133.3348513033807</v>
      </c>
      <c r="N6" s="9">
        <f t="shared" ref="N6:N18" ca="1" si="3">K78</f>
        <v>139.8134982917687</v>
      </c>
      <c r="O6" s="9">
        <v>97.62114174587181</v>
      </c>
      <c r="P6" s="9">
        <v>152.65979099545785</v>
      </c>
      <c r="Q6" s="9">
        <f t="shared" ref="Q6:Q18" ca="1" si="4">K96</f>
        <v>140.19449442922883</v>
      </c>
      <c r="R6" s="9">
        <v>98.967512852139791</v>
      </c>
      <c r="S6" s="9">
        <v>162.84780127568482</v>
      </c>
      <c r="T6" s="9">
        <f t="shared" ref="T6:T18" ca="1" si="5">K114</f>
        <v>142.48750895573289</v>
      </c>
    </row>
    <row r="7" spans="2:20" x14ac:dyDescent="0.35">
      <c r="B7" s="7" t="s">
        <v>151</v>
      </c>
      <c r="C7" s="9">
        <v>48.575572620813851</v>
      </c>
      <c r="D7" s="9">
        <v>40.381603885343559</v>
      </c>
      <c r="E7" s="9">
        <f t="shared" si="0"/>
        <v>39.227530697325612</v>
      </c>
      <c r="F7" s="9">
        <v>46.101040187912886</v>
      </c>
      <c r="G7" s="9">
        <v>49.030478356130388</v>
      </c>
      <c r="H7" s="9">
        <f t="shared" si="1"/>
        <v>40.93615763401327</v>
      </c>
      <c r="I7" s="9">
        <v>46.747419202396173</v>
      </c>
      <c r="J7" s="9">
        <v>35.35149900087724</v>
      </c>
      <c r="K7" s="9">
        <f t="shared" si="2"/>
        <v>33.465629789821719</v>
      </c>
      <c r="L7" s="9">
        <v>47.535404928844933</v>
      </c>
      <c r="M7" s="9">
        <v>58.568578996025927</v>
      </c>
      <c r="N7" s="9">
        <f t="shared" ca="1" si="3"/>
        <v>61.961939521238747</v>
      </c>
      <c r="O7" s="9">
        <v>48.202428646682634</v>
      </c>
      <c r="P7" s="9">
        <v>69.456585856462638</v>
      </c>
      <c r="Q7" s="9">
        <f t="shared" ca="1" si="4"/>
        <v>69.797863670597351</v>
      </c>
      <c r="R7" s="9">
        <v>48.819710460619881</v>
      </c>
      <c r="S7" s="9">
        <v>74.10480861243957</v>
      </c>
      <c r="T7" s="9">
        <f t="shared" ca="1" si="5"/>
        <v>71.109726845009519</v>
      </c>
    </row>
    <row r="8" spans="2:20" x14ac:dyDescent="0.35">
      <c r="B8" s="7" t="s">
        <v>44</v>
      </c>
      <c r="C8" s="9">
        <v>22.686141526491312</v>
      </c>
      <c r="D8" s="9">
        <v>11.292949606931648</v>
      </c>
      <c r="E8" s="9">
        <f t="shared" si="0"/>
        <v>11.33757329321592</v>
      </c>
      <c r="F8" s="9">
        <v>17.545987718253865</v>
      </c>
      <c r="G8" s="9">
        <v>10.081077808931717</v>
      </c>
      <c r="H8" s="9">
        <f t="shared" si="1"/>
        <v>9.8445134381781347</v>
      </c>
      <c r="I8" s="9">
        <v>17.649308921656687</v>
      </c>
      <c r="J8" s="9">
        <v>10.730182187971861</v>
      </c>
      <c r="K8" s="9">
        <f t="shared" si="2"/>
        <v>11.557512215585792</v>
      </c>
      <c r="L8" s="9">
        <v>18.066305753319611</v>
      </c>
      <c r="M8" s="9">
        <v>16.078529844625415</v>
      </c>
      <c r="N8" s="9">
        <f t="shared" ca="1" si="3"/>
        <v>17.588906944179918</v>
      </c>
      <c r="O8" s="9">
        <v>18.479836153699804</v>
      </c>
      <c r="P8" s="9">
        <v>19.444454682436312</v>
      </c>
      <c r="Q8" s="9">
        <f t="shared" ca="1" si="4"/>
        <v>17.180182776951682</v>
      </c>
      <c r="R8" s="9">
        <v>18.877640305429413</v>
      </c>
      <c r="S8" s="9">
        <v>20.653936533119083</v>
      </c>
      <c r="T8" s="9">
        <f t="shared" ca="1" si="5"/>
        <v>17.604581500284734</v>
      </c>
    </row>
    <row r="9" spans="2:20" x14ac:dyDescent="0.35">
      <c r="B9" s="7" t="s">
        <v>152</v>
      </c>
      <c r="C9" s="9">
        <v>41.9076699362776</v>
      </c>
      <c r="D9" s="9">
        <v>29.127174603304692</v>
      </c>
      <c r="E9" s="9">
        <f t="shared" si="0"/>
        <v>29.818345090853331</v>
      </c>
      <c r="F9" s="9">
        <v>46.167822605848009</v>
      </c>
      <c r="G9" s="9">
        <v>13.294265547661267</v>
      </c>
      <c r="H9" s="9">
        <f t="shared" si="1"/>
        <v>13.920677294704451</v>
      </c>
      <c r="I9" s="9">
        <v>46.528938539896529</v>
      </c>
      <c r="J9" s="9">
        <v>24.303547540711889</v>
      </c>
      <c r="K9" s="9">
        <f t="shared" si="2"/>
        <v>25.316095895933572</v>
      </c>
      <c r="L9" s="9">
        <v>47.314503287926136</v>
      </c>
      <c r="M9" s="9">
        <v>48.914061208820804</v>
      </c>
      <c r="N9" s="9">
        <f t="shared" ca="1" si="3"/>
        <v>52.549217048749448</v>
      </c>
      <c r="O9" s="9">
        <v>48.042314827429287</v>
      </c>
      <c r="P9" s="9">
        <v>59.659628899426501</v>
      </c>
      <c r="Q9" s="9">
        <f t="shared" ca="1" si="4"/>
        <v>58.556525042324139</v>
      </c>
      <c r="R9" s="9">
        <v>48.701630597042744</v>
      </c>
      <c r="S9" s="9">
        <v>63.552632415437117</v>
      </c>
      <c r="T9" s="9">
        <f t="shared" ca="1" si="5"/>
        <v>58.866998116475663</v>
      </c>
    </row>
    <row r="10" spans="2:20" x14ac:dyDescent="0.35">
      <c r="B10" s="7" t="s">
        <v>154</v>
      </c>
      <c r="C10" s="9">
        <v>18.394742267073269</v>
      </c>
      <c r="D10" s="9">
        <v>21.040509972168092</v>
      </c>
      <c r="E10" s="9">
        <f t="shared" si="0"/>
        <v>20.525530498176089</v>
      </c>
      <c r="F10" s="9">
        <v>25.9507996941791</v>
      </c>
      <c r="G10" s="9">
        <v>12.233599195134108</v>
      </c>
      <c r="H10" s="9">
        <f t="shared" si="1"/>
        <v>10.757836613935842</v>
      </c>
      <c r="I10" s="9">
        <v>26.454710988654853</v>
      </c>
      <c r="J10" s="9">
        <v>14.059372335061774</v>
      </c>
      <c r="K10" s="9">
        <f t="shared" si="2"/>
        <v>11.882176085524211</v>
      </c>
      <c r="L10" s="9">
        <v>27.062330620802165</v>
      </c>
      <c r="M10" s="9">
        <v>15.506857694297233</v>
      </c>
      <c r="N10" s="9">
        <f t="shared" ca="1" si="3"/>
        <v>28.706537819601078</v>
      </c>
      <c r="O10" s="9">
        <v>27.517836227152728</v>
      </c>
      <c r="P10" s="9">
        <v>36.479566066485113</v>
      </c>
      <c r="Q10" s="9">
        <f t="shared" ca="1" si="4"/>
        <v>45.55713784430251</v>
      </c>
      <c r="R10" s="9">
        <v>27.944820252643563</v>
      </c>
      <c r="S10" s="9">
        <v>176.50058281259803</v>
      </c>
      <c r="T10" s="9">
        <f t="shared" ca="1" si="5"/>
        <v>45.839542438584175</v>
      </c>
    </row>
    <row r="11" spans="2:20" x14ac:dyDescent="0.35">
      <c r="B11" s="7" t="s">
        <v>155</v>
      </c>
      <c r="C11" s="9">
        <v>38.710469670709507</v>
      </c>
      <c r="D11" s="9">
        <v>31.56265575834496</v>
      </c>
      <c r="E11" s="9">
        <f t="shared" si="0"/>
        <v>31.435333399752139</v>
      </c>
      <c r="F11" s="9">
        <v>37.507491938197973</v>
      </c>
      <c r="G11" s="9">
        <v>36.767453983221323</v>
      </c>
      <c r="H11" s="9">
        <f t="shared" si="1"/>
        <v>31.490248868102462</v>
      </c>
      <c r="I11" s="9">
        <v>37.619101016059489</v>
      </c>
      <c r="J11" s="9">
        <v>27.913084314053499</v>
      </c>
      <c r="K11" s="9">
        <f t="shared" si="2"/>
        <v>27.725784094043014</v>
      </c>
      <c r="L11" s="9">
        <v>37.038159599811188</v>
      </c>
      <c r="M11" s="9">
        <v>33.684781238321783</v>
      </c>
      <c r="N11" s="9">
        <f t="shared" ca="1" si="3"/>
        <v>35.797241830700166</v>
      </c>
      <c r="O11" s="9">
        <v>37.408022363064767</v>
      </c>
      <c r="P11" s="9">
        <v>39.175572982661336</v>
      </c>
      <c r="Q11" s="9">
        <f t="shared" ca="1" si="4"/>
        <v>41.427458421528158</v>
      </c>
      <c r="R11" s="9">
        <v>37.939889075611227</v>
      </c>
      <c r="S11" s="9">
        <v>42.206892791906604</v>
      </c>
      <c r="T11" s="9">
        <f t="shared" ca="1" si="5"/>
        <v>43.01743013028625</v>
      </c>
    </row>
    <row r="12" spans="2:20" x14ac:dyDescent="0.35">
      <c r="B12" s="7" t="s">
        <v>156</v>
      </c>
      <c r="C12" s="9">
        <v>28.923172843511306</v>
      </c>
      <c r="D12" s="9">
        <v>25.049386536713623</v>
      </c>
      <c r="E12" s="9">
        <f t="shared" si="0"/>
        <v>23.764347483607043</v>
      </c>
      <c r="F12" s="9">
        <v>45.217758441509346</v>
      </c>
      <c r="G12" s="9">
        <v>22.729709038977212</v>
      </c>
      <c r="H12" s="9">
        <f t="shared" si="1"/>
        <v>19.9730909726356</v>
      </c>
      <c r="I12" s="9">
        <v>45.706752658387593</v>
      </c>
      <c r="J12" s="9">
        <v>23.846829700532187</v>
      </c>
      <c r="K12" s="9">
        <f t="shared" si="2"/>
        <v>23.426894196017642</v>
      </c>
      <c r="L12" s="9">
        <v>45.40656657872649</v>
      </c>
      <c r="M12" s="9">
        <v>45.506528421894139</v>
      </c>
      <c r="N12" s="9">
        <f t="shared" ca="1" si="3"/>
        <v>47.805116237879943</v>
      </c>
      <c r="O12" s="9">
        <v>46.006393871516927</v>
      </c>
      <c r="P12" s="9">
        <v>48.299352492209451</v>
      </c>
      <c r="Q12" s="9">
        <f t="shared" ca="1" si="4"/>
        <v>56.55621196401151</v>
      </c>
      <c r="R12" s="9">
        <v>46.702467894915138</v>
      </c>
      <c r="S12" s="9">
        <v>52.219012596677167</v>
      </c>
      <c r="T12" s="9">
        <f t="shared" ca="1" si="5"/>
        <v>56.830143378461671</v>
      </c>
    </row>
    <row r="13" spans="2:20" x14ac:dyDescent="0.35">
      <c r="B13" s="7" t="s">
        <v>8</v>
      </c>
      <c r="C13" s="9">
        <v>35.178044188996836</v>
      </c>
      <c r="D13" s="9">
        <v>33.597649771292424</v>
      </c>
      <c r="E13" s="9">
        <f t="shared" si="0"/>
        <v>33.68902347290183</v>
      </c>
      <c r="F13" s="9">
        <v>33.735006899868928</v>
      </c>
      <c r="G13" s="9">
        <v>31.526619127256293</v>
      </c>
      <c r="H13" s="9">
        <f t="shared" si="1"/>
        <v>26.864861221520925</v>
      </c>
      <c r="I13" s="9">
        <v>33.998694975665451</v>
      </c>
      <c r="J13" s="9">
        <v>30.42575430978188</v>
      </c>
      <c r="K13" s="9">
        <f t="shared" si="2"/>
        <v>30.437045975041901</v>
      </c>
      <c r="L13" s="9">
        <v>34.274725115236429</v>
      </c>
      <c r="M13" s="9">
        <v>43.604456352104606</v>
      </c>
      <c r="N13" s="9">
        <f t="shared" ca="1" si="3"/>
        <v>45.633852318320614</v>
      </c>
      <c r="O13" s="9">
        <v>34.565636947451218</v>
      </c>
      <c r="P13" s="9">
        <v>44.837852615897162</v>
      </c>
      <c r="Q13" s="9">
        <f t="shared" ca="1" si="4"/>
        <v>49.17163280015609</v>
      </c>
      <c r="R13" s="9">
        <v>34.837531450018261</v>
      </c>
      <c r="S13" s="9">
        <v>47.55645146553293</v>
      </c>
      <c r="T13" s="9">
        <f t="shared" ca="1" si="5"/>
        <v>49.929197442104019</v>
      </c>
    </row>
    <row r="14" spans="2:20" x14ac:dyDescent="0.35">
      <c r="B14" s="7" t="s">
        <v>157</v>
      </c>
      <c r="C14" s="9">
        <v>76.963812984574488</v>
      </c>
      <c r="D14" s="9">
        <v>61.463718302350109</v>
      </c>
      <c r="E14" s="9">
        <f t="shared" si="0"/>
        <v>62.414548167854313</v>
      </c>
      <c r="F14" s="9">
        <v>84.612268184812493</v>
      </c>
      <c r="G14" s="9">
        <v>57.422294702701542</v>
      </c>
      <c r="H14" s="9">
        <f t="shared" si="1"/>
        <v>50.301054260962943</v>
      </c>
      <c r="I14" s="9">
        <v>85.050103448170645</v>
      </c>
      <c r="J14" s="9">
        <v>57.346834996177563</v>
      </c>
      <c r="K14" s="9">
        <f t="shared" si="2"/>
        <v>55.674918181411009</v>
      </c>
      <c r="L14" s="9">
        <v>85.865679500007715</v>
      </c>
      <c r="M14" s="9">
        <v>78.591403020363799</v>
      </c>
      <c r="N14" s="9">
        <f t="shared" ca="1" si="3"/>
        <v>82.604162578679009</v>
      </c>
      <c r="O14" s="9">
        <v>86.572244898127082</v>
      </c>
      <c r="P14" s="9">
        <v>93.838411798453009</v>
      </c>
      <c r="Q14" s="9">
        <f t="shared" ca="1" si="4"/>
        <v>90.823860508068719</v>
      </c>
      <c r="R14" s="9">
        <v>87.47550922306408</v>
      </c>
      <c r="S14" s="9">
        <v>98.721614797615857</v>
      </c>
      <c r="T14" s="9">
        <f t="shared" ca="1" si="5"/>
        <v>91.768245235933193</v>
      </c>
    </row>
    <row r="15" spans="2:20" x14ac:dyDescent="0.35">
      <c r="B15" s="7" t="s">
        <v>158</v>
      </c>
      <c r="C15" s="9">
        <v>122.4924179295559</v>
      </c>
      <c r="D15" s="9">
        <v>115.46482485899982</v>
      </c>
      <c r="E15" s="9">
        <f t="shared" si="0"/>
        <v>100.06773924505107</v>
      </c>
      <c r="F15" s="9">
        <v>102.31073580401105</v>
      </c>
      <c r="G15" s="9">
        <v>99.217855975762944</v>
      </c>
      <c r="H15" s="9">
        <f t="shared" si="1"/>
        <v>79.316548769550977</v>
      </c>
      <c r="I15" s="9">
        <v>102.64526626509979</v>
      </c>
      <c r="J15" s="9">
        <v>102.27779217849073</v>
      </c>
      <c r="K15" s="9">
        <f t="shared" si="2"/>
        <v>92.215067381563728</v>
      </c>
      <c r="L15" s="9">
        <v>103.36102527151219</v>
      </c>
      <c r="M15" s="9">
        <v>144.83743042492898</v>
      </c>
      <c r="N15" s="9">
        <f t="shared" ca="1" si="3"/>
        <v>139.54142088160742</v>
      </c>
      <c r="O15" s="9">
        <v>104.03951686776645</v>
      </c>
      <c r="P15" s="9">
        <v>165.43306437360187</v>
      </c>
      <c r="Q15" s="9">
        <f t="shared" ca="1" si="4"/>
        <v>140.6573644502412</v>
      </c>
      <c r="R15" s="9">
        <v>104.61951523018904</v>
      </c>
      <c r="S15" s="9">
        <v>173.86651931450766</v>
      </c>
      <c r="T15" s="9">
        <f t="shared" ca="1" si="5"/>
        <v>142.33849816073544</v>
      </c>
    </row>
    <row r="16" spans="2:20" x14ac:dyDescent="0.35">
      <c r="B16" s="7" t="s">
        <v>159</v>
      </c>
      <c r="C16" s="9">
        <v>71.286550737587476</v>
      </c>
      <c r="D16" s="9">
        <v>77.029068121678094</v>
      </c>
      <c r="E16" s="9">
        <f t="shared" si="0"/>
        <v>71.733825994816897</v>
      </c>
      <c r="F16" s="9">
        <v>67.223102548780901</v>
      </c>
      <c r="G16" s="9">
        <v>67.223102548780901</v>
      </c>
      <c r="H16" s="9">
        <f t="shared" si="1"/>
        <v>59.364158146052837</v>
      </c>
      <c r="I16" s="9">
        <v>67.745977337349743</v>
      </c>
      <c r="J16" s="9">
        <v>67.745977337349743</v>
      </c>
      <c r="K16" s="9">
        <f t="shared" si="2"/>
        <v>56.069654670818849</v>
      </c>
      <c r="L16" s="9">
        <v>68.399192337052312</v>
      </c>
      <c r="M16" s="9">
        <v>84.662927131239911</v>
      </c>
      <c r="N16" s="9">
        <f t="shared" ca="1" si="3"/>
        <v>87.596574981234298</v>
      </c>
      <c r="O16" s="9">
        <v>69.033015712964058</v>
      </c>
      <c r="P16" s="9">
        <v>90.458098434901856</v>
      </c>
      <c r="Q16" s="9">
        <f t="shared" ca="1" si="4"/>
        <v>87.781812585094855</v>
      </c>
      <c r="R16" s="9">
        <v>69.608704139931731</v>
      </c>
      <c r="S16" s="9">
        <v>94.880851821530712</v>
      </c>
      <c r="T16" s="9">
        <f t="shared" ca="1" si="5"/>
        <v>88.309245325853794</v>
      </c>
    </row>
    <row r="17" spans="1:26" x14ac:dyDescent="0.35">
      <c r="B17" s="7" t="s">
        <v>160</v>
      </c>
      <c r="C17" s="9">
        <v>17.628735190316284</v>
      </c>
      <c r="D17" s="9">
        <v>14.933875411522472</v>
      </c>
      <c r="E17" s="9">
        <f t="shared" si="0"/>
        <v>13.518873097175534</v>
      </c>
      <c r="F17" s="9">
        <v>22.72605168406449</v>
      </c>
      <c r="G17" s="9">
        <v>15.868291194051737</v>
      </c>
      <c r="H17" s="9">
        <f t="shared" si="1"/>
        <v>14.068808970917052</v>
      </c>
      <c r="I17" s="9">
        <v>22.972411603509244</v>
      </c>
      <c r="J17" s="9">
        <v>15.55586049264496</v>
      </c>
      <c r="K17" s="9">
        <f t="shared" si="2"/>
        <v>14.885978548164157</v>
      </c>
      <c r="L17" s="9">
        <v>23.278127023285048</v>
      </c>
      <c r="M17" s="9">
        <v>21.456220536250811</v>
      </c>
      <c r="N17" s="9">
        <f t="shared" ca="1" si="3"/>
        <v>22.76011032477841</v>
      </c>
      <c r="O17" s="9">
        <v>23.556514505618843</v>
      </c>
      <c r="P17" s="9">
        <v>27.247976348648457</v>
      </c>
      <c r="Q17" s="9">
        <f t="shared" ca="1" si="4"/>
        <v>30.281523246866328</v>
      </c>
      <c r="R17" s="9">
        <v>23.793792558888121</v>
      </c>
      <c r="S17" s="9">
        <v>28.524361113691743</v>
      </c>
      <c r="T17" s="9">
        <f t="shared" ca="1" si="5"/>
        <v>30.496295765230879</v>
      </c>
    </row>
    <row r="18" spans="1:26" x14ac:dyDescent="0.35">
      <c r="B18" s="7" t="s">
        <v>161</v>
      </c>
      <c r="C18" s="9">
        <v>11.283021714307031</v>
      </c>
      <c r="D18" s="9">
        <v>12.886304593578856</v>
      </c>
      <c r="E18" s="9">
        <f t="shared" si="0"/>
        <v>11.292264967225517</v>
      </c>
      <c r="F18" s="9">
        <v>12.135493169933534</v>
      </c>
      <c r="G18" s="9">
        <v>11.291811275410355</v>
      </c>
      <c r="H18" s="9">
        <f t="shared" si="1"/>
        <v>10.821134268283966</v>
      </c>
      <c r="I18" s="9">
        <v>11.804185699499271</v>
      </c>
      <c r="J18" s="9">
        <v>10.829435810547649</v>
      </c>
      <c r="K18" s="9">
        <f t="shared" si="2"/>
        <v>10.645878003402869</v>
      </c>
      <c r="L18" s="9">
        <v>12.16289135015008</v>
      </c>
      <c r="M18" s="9">
        <v>11.91</v>
      </c>
      <c r="N18" s="9">
        <f t="shared" ca="1" si="3"/>
        <v>11.636463113886384</v>
      </c>
      <c r="O18" s="9">
        <v>12.032206918340659</v>
      </c>
      <c r="P18" s="9">
        <v>11.27</v>
      </c>
      <c r="Q18" s="9">
        <f t="shared" ca="1" si="4"/>
        <v>11.870538948571623</v>
      </c>
      <c r="R18" s="9">
        <v>12.02125744796087</v>
      </c>
      <c r="S18" s="9">
        <v>11.69</v>
      </c>
      <c r="T18" s="9">
        <f t="shared" ca="1" si="5"/>
        <v>12.188927768453091</v>
      </c>
    </row>
    <row r="19" spans="1:26" x14ac:dyDescent="0.35">
      <c r="B19" s="12" t="s">
        <v>27</v>
      </c>
      <c r="C19" s="13">
        <f>SUM(C5:C18)</f>
        <v>653.80527384517359</v>
      </c>
      <c r="D19" s="13">
        <f t="shared" ref="D19:T19" si="6">SUM(D5:D18)</f>
        <v>564.98324335110203</v>
      </c>
      <c r="E19" s="13">
        <f t="shared" si="6"/>
        <v>542.65756598431778</v>
      </c>
      <c r="F19" s="13">
        <f t="shared" si="6"/>
        <v>650.69906717670517</v>
      </c>
      <c r="G19" s="13">
        <f t="shared" si="6"/>
        <v>518.86802652233655</v>
      </c>
      <c r="H19" s="13">
        <f t="shared" si="6"/>
        <v>445.17211731163547</v>
      </c>
      <c r="I19" s="13">
        <f t="shared" si="6"/>
        <v>655.13036807973094</v>
      </c>
      <c r="J19" s="13">
        <f t="shared" si="6"/>
        <v>504.14640408068584</v>
      </c>
      <c r="K19" s="13">
        <f t="shared" si="6"/>
        <v>471.82234430072867</v>
      </c>
      <c r="L19" s="13">
        <f t="shared" si="6"/>
        <v>661.90091826210937</v>
      </c>
      <c r="M19" s="13">
        <f t="shared" si="6"/>
        <v>751.64722519275495</v>
      </c>
      <c r="N19" s="13">
        <f t="shared" ca="1" si="6"/>
        <v>789.87500089730736</v>
      </c>
      <c r="O19" s="13">
        <f t="shared" si="6"/>
        <v>669.30450501743769</v>
      </c>
      <c r="P19" s="13">
        <f t="shared" si="6"/>
        <v>876.77627190325575</v>
      </c>
      <c r="Q19" s="13">
        <f t="shared" ca="1" si="6"/>
        <v>858.85849977725059</v>
      </c>
      <c r="R19" s="13">
        <f t="shared" si="6"/>
        <v>676.80286888336389</v>
      </c>
      <c r="S19" s="13">
        <f t="shared" si="6"/>
        <v>1066.7551074841556</v>
      </c>
      <c r="T19" s="13">
        <f t="shared" ca="1" si="6"/>
        <v>870.07528572624074</v>
      </c>
    </row>
    <row r="20" spans="1:26" x14ac:dyDescent="0.35">
      <c r="B20" s="103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</row>
    <row r="21" spans="1:26" x14ac:dyDescent="0.35">
      <c r="B21" s="3" t="s">
        <v>31</v>
      </c>
      <c r="M21" s="3"/>
      <c r="W21" s="3" t="s">
        <v>342</v>
      </c>
    </row>
    <row r="22" spans="1:26" ht="45" x14ac:dyDescent="0.35">
      <c r="B22" s="6" t="s">
        <v>170</v>
      </c>
      <c r="C22" s="96" t="s">
        <v>287</v>
      </c>
      <c r="D22" s="96" t="s">
        <v>288</v>
      </c>
      <c r="E22" s="96" t="s">
        <v>343</v>
      </c>
      <c r="F22" s="6" t="s">
        <v>344</v>
      </c>
      <c r="G22" s="6" t="s">
        <v>345</v>
      </c>
      <c r="H22" s="96" t="s">
        <v>346</v>
      </c>
      <c r="I22" s="96" t="s">
        <v>347</v>
      </c>
      <c r="J22" s="96" t="s">
        <v>67</v>
      </c>
      <c r="K22" s="6" t="s">
        <v>26</v>
      </c>
      <c r="W22" s="6" t="s">
        <v>9</v>
      </c>
      <c r="X22" s="6" t="s">
        <v>10</v>
      </c>
      <c r="Y22" s="6" t="s">
        <v>348</v>
      </c>
      <c r="Z22" s="6" t="s">
        <v>349</v>
      </c>
    </row>
    <row r="23" spans="1:26" ht="31" x14ac:dyDescent="0.35">
      <c r="A23" s="91">
        <f>GFA!D24</f>
        <v>458.65344351252071</v>
      </c>
      <c r="B23" s="7" t="s">
        <v>43</v>
      </c>
      <c r="C23" s="9">
        <f>EC!AT5*60/366</f>
        <v>2.6114952971746543</v>
      </c>
      <c r="D23" s="9">
        <f>EC!AU5*2/12</f>
        <v>6.7332102971677549E-2</v>
      </c>
      <c r="E23" s="9">
        <f>'O&amp;M (Summary)'!Y5*1/12</f>
        <v>8.052942293609572</v>
      </c>
      <c r="F23" s="9">
        <f>1%*A23</f>
        <v>4.5865344351252073</v>
      </c>
      <c r="G23" s="9">
        <f>ARR!AG5*45/366</f>
        <v>17.122131147540983</v>
      </c>
      <c r="H23" s="9">
        <f>D23*25/60</f>
        <v>2.8055042904865646E-2</v>
      </c>
      <c r="I23" s="9">
        <f>SUM(C23:G23)-H23</f>
        <v>32.412380233517226</v>
      </c>
      <c r="J23" s="10">
        <v>9.6600000000000005E-2</v>
      </c>
      <c r="K23" s="9">
        <f>I23*J23</f>
        <v>3.131035930557764</v>
      </c>
      <c r="W23" s="84" t="s">
        <v>350</v>
      </c>
      <c r="X23" s="8" t="s">
        <v>14</v>
      </c>
      <c r="Y23" s="8" t="s">
        <v>351</v>
      </c>
      <c r="Z23" s="9">
        <v>723.86629535538611</v>
      </c>
    </row>
    <row r="24" spans="1:26" ht="31" x14ac:dyDescent="0.35">
      <c r="A24" s="91">
        <f>GFA!D43</f>
        <v>3736.4979422751694</v>
      </c>
      <c r="B24" s="7" t="s">
        <v>150</v>
      </c>
      <c r="C24" s="9">
        <f>EC!AT6*60/366</f>
        <v>392.99036973485721</v>
      </c>
      <c r="D24" s="9">
        <f>EC!AU6*2/12</f>
        <v>12.938018113841032</v>
      </c>
      <c r="E24" s="9">
        <f>'O&amp;M (Summary)'!Y6*1/12</f>
        <v>50.823442348768566</v>
      </c>
      <c r="F24" s="9">
        <f t="shared" ref="F24:F36" si="7">1%*A24</f>
        <v>37.364979422751695</v>
      </c>
      <c r="G24" s="9">
        <f>ARR!AG6*45/366</f>
        <v>450.21393442622946</v>
      </c>
      <c r="H24" s="9">
        <f>D24*25/60</f>
        <v>5.3908408807670973</v>
      </c>
      <c r="I24" s="9">
        <f t="shared" ref="I24:I36" si="8">SUM(C24:G24)-H24</f>
        <v>938.9399031656809</v>
      </c>
      <c r="J24" s="10">
        <v>9.6600000000000005E-2</v>
      </c>
      <c r="K24" s="9">
        <f t="shared" ref="K24:K36" si="9">I24*J24</f>
        <v>90.701594645804775</v>
      </c>
      <c r="W24" s="84" t="s">
        <v>352</v>
      </c>
      <c r="X24" s="8" t="s">
        <v>14</v>
      </c>
      <c r="Y24" s="8" t="s">
        <v>353</v>
      </c>
      <c r="Z24" s="9">
        <v>2545.4499999999998</v>
      </c>
    </row>
    <row r="25" spans="1:26" ht="31" x14ac:dyDescent="0.35">
      <c r="A25" s="91">
        <f>GFA!D62</f>
        <v>2576.426326584</v>
      </c>
      <c r="B25" s="7" t="s">
        <v>151</v>
      </c>
      <c r="C25" s="9">
        <f>EC!AT7*60/366</f>
        <v>170.5837298499402</v>
      </c>
      <c r="D25" s="9">
        <f>EC!AU7*2/12</f>
        <v>5.6496126967301246</v>
      </c>
      <c r="E25" s="9">
        <f>'O&amp;M (Summary)'!Y7*1/12</f>
        <v>24.154071564285868</v>
      </c>
      <c r="F25" s="9">
        <f t="shared" si="7"/>
        <v>25.76426326584</v>
      </c>
      <c r="G25" s="9">
        <f>ARR!AG7*45/366</f>
        <v>182.28442622950817</v>
      </c>
      <c r="H25" s="9">
        <f>D25*25/60</f>
        <v>2.3540052903042183</v>
      </c>
      <c r="I25" s="9">
        <f t="shared" si="8"/>
        <v>406.0820983160001</v>
      </c>
      <c r="J25" s="10">
        <v>9.6600000000000005E-2</v>
      </c>
      <c r="K25" s="9">
        <f t="shared" si="9"/>
        <v>39.227530697325612</v>
      </c>
      <c r="W25" s="84" t="s">
        <v>354</v>
      </c>
      <c r="X25" s="8" t="s">
        <v>16</v>
      </c>
      <c r="Y25" s="8" t="s">
        <v>355</v>
      </c>
      <c r="Z25" s="10">
        <v>0.15</v>
      </c>
    </row>
    <row r="26" spans="1:26" ht="31" x14ac:dyDescent="0.35">
      <c r="A26" s="91">
        <f>GFA!D81</f>
        <v>1251.5502171753139</v>
      </c>
      <c r="B26" s="7" t="s">
        <v>44</v>
      </c>
      <c r="C26" s="9">
        <f>EC!AT8*60/366</f>
        <v>28.737363245581907</v>
      </c>
      <c r="D26" s="9">
        <f>EC!AU8*2/12</f>
        <v>0.99176693873922306</v>
      </c>
      <c r="E26" s="9">
        <f>'O&amp;M (Summary)'!Y8*1/12</f>
        <v>17.13806571651007</v>
      </c>
      <c r="F26" s="9">
        <f t="shared" si="7"/>
        <v>12.515502171753139</v>
      </c>
      <c r="G26" s="9">
        <f>ARR!AG8*45/366</f>
        <v>58.39672131147541</v>
      </c>
      <c r="H26" s="9">
        <f>D26*25/60</f>
        <v>0.41323622447467628</v>
      </c>
      <c r="I26" s="9">
        <f t="shared" si="8"/>
        <v>117.36618315958508</v>
      </c>
      <c r="J26" s="10">
        <v>9.6600000000000005E-2</v>
      </c>
      <c r="K26" s="9">
        <f t="shared" si="9"/>
        <v>11.33757329321592</v>
      </c>
      <c r="W26" s="84" t="s">
        <v>356</v>
      </c>
      <c r="X26" s="8" t="s">
        <v>16</v>
      </c>
      <c r="Y26" s="8" t="s">
        <v>357</v>
      </c>
      <c r="Z26" s="10">
        <f>J23</f>
        <v>9.6600000000000005E-2</v>
      </c>
    </row>
    <row r="27" spans="1:26" x14ac:dyDescent="0.35">
      <c r="A27" s="91">
        <f>GFA!D100</f>
        <v>759.86978897899996</v>
      </c>
      <c r="B27" s="7" t="s">
        <v>152</v>
      </c>
      <c r="C27" s="9">
        <f>EC!AT9*60/366</f>
        <v>126.01608761780122</v>
      </c>
      <c r="D27" s="9">
        <f>EC!AU9*2/12</f>
        <v>2.3290172484745484</v>
      </c>
      <c r="E27" s="9">
        <f>'O&amp;M (Summary)'!Y9*1/12</f>
        <v>27.397354821467122</v>
      </c>
      <c r="F27" s="9">
        <f t="shared" si="7"/>
        <v>7.5986978897899995</v>
      </c>
      <c r="G27" s="9">
        <f>ARR!AG9*45/366</f>
        <v>146.30778688524592</v>
      </c>
      <c r="H27" s="9">
        <f>D27*25/60</f>
        <v>0.97042385353106175</v>
      </c>
      <c r="I27" s="9">
        <f t="shared" si="8"/>
        <v>308.6785206092477</v>
      </c>
      <c r="J27" s="10">
        <v>9.6600000000000005E-2</v>
      </c>
      <c r="K27" s="9">
        <f t="shared" si="9"/>
        <v>29.818345090853331</v>
      </c>
      <c r="W27" s="84" t="s">
        <v>358</v>
      </c>
      <c r="X27" s="8" t="s">
        <v>14</v>
      </c>
      <c r="Y27" s="8" t="s">
        <v>359</v>
      </c>
      <c r="Z27" s="9">
        <f>(Z24/Z25)*Z26</f>
        <v>1639.2698000000003</v>
      </c>
    </row>
    <row r="28" spans="1:26" ht="30" x14ac:dyDescent="0.35">
      <c r="A28" s="91">
        <f>GFA!D138</f>
        <v>1697.264459498</v>
      </c>
      <c r="B28" s="7" t="s">
        <v>154</v>
      </c>
      <c r="C28" s="9">
        <f>EC!AT10*60/366</f>
        <v>97.911107743460505</v>
      </c>
      <c r="D28" s="9">
        <f>EC!AU10*2/12</f>
        <v>0</v>
      </c>
      <c r="E28" s="9">
        <f>'O&amp;M (Summary)'!Y10*1/12</f>
        <v>7.1556955094944312</v>
      </c>
      <c r="F28" s="9">
        <f t="shared" si="7"/>
        <v>16.97264459498</v>
      </c>
      <c r="G28" s="9">
        <f>ARR!AG10*45/366</f>
        <v>90.440163934426224</v>
      </c>
      <c r="H28" s="9">
        <v>0</v>
      </c>
      <c r="I28" s="9">
        <f t="shared" si="8"/>
        <v>212.47961178236116</v>
      </c>
      <c r="J28" s="10">
        <v>9.6600000000000005E-2</v>
      </c>
      <c r="K28" s="9">
        <f t="shared" si="9"/>
        <v>20.525530498176089</v>
      </c>
      <c r="W28" s="15" t="s">
        <v>360</v>
      </c>
      <c r="X28" s="12" t="s">
        <v>14</v>
      </c>
      <c r="Y28" s="133" t="s">
        <v>361</v>
      </c>
      <c r="Z28" s="13">
        <f>MAX(Z23-Z27,0)</f>
        <v>0</v>
      </c>
    </row>
    <row r="29" spans="1:26" x14ac:dyDescent="0.35">
      <c r="A29" s="91">
        <f>GFA!D157</f>
        <v>3211.0382923577822</v>
      </c>
      <c r="B29" s="7" t="s">
        <v>155</v>
      </c>
      <c r="C29" s="9">
        <f>EC!AT11*60/366</f>
        <v>118.32908090278744</v>
      </c>
      <c r="D29" s="9">
        <f>EC!AU11*2/12</f>
        <v>0.90603430235709093</v>
      </c>
      <c r="E29" s="9">
        <f>'O&amp;M (Summary)'!Y11*1/12</f>
        <v>13.267169132884199</v>
      </c>
      <c r="F29" s="9">
        <f t="shared" si="7"/>
        <v>32.110382923577824</v>
      </c>
      <c r="G29" s="9">
        <f>ARR!AG11*45/366</f>
        <v>161.18237704918033</v>
      </c>
      <c r="H29" s="9">
        <f t="shared" ref="H29:H35" si="10">D29*25/60</f>
        <v>0.37751429264878789</v>
      </c>
      <c r="I29" s="9">
        <f t="shared" si="8"/>
        <v>325.41753001813805</v>
      </c>
      <c r="J29" s="10">
        <v>9.6600000000000005E-2</v>
      </c>
      <c r="K29" s="9">
        <f t="shared" si="9"/>
        <v>31.435333399752139</v>
      </c>
    </row>
    <row r="30" spans="1:26" x14ac:dyDescent="0.35">
      <c r="A30" s="91">
        <f>GFA!D176</f>
        <v>2930.2949494062013</v>
      </c>
      <c r="B30" s="7" t="s">
        <v>156</v>
      </c>
      <c r="C30" s="9">
        <f>EC!AT12*60/366</f>
        <v>83.417621705080805</v>
      </c>
      <c r="D30" s="9">
        <f>EC!AU12*2/12</f>
        <v>0.51637040853693827</v>
      </c>
      <c r="E30" s="9">
        <f>'O&amp;M (Summary)'!Y12*1/12</f>
        <v>14.967917867864138</v>
      </c>
      <c r="F30" s="9">
        <f t="shared" si="7"/>
        <v>29.302949494062013</v>
      </c>
      <c r="G30" s="9">
        <f>ARR!AG12*45/366</f>
        <v>118.01803278688524</v>
      </c>
      <c r="H30" s="9">
        <f t="shared" si="10"/>
        <v>0.21515433689039093</v>
      </c>
      <c r="I30" s="9">
        <f t="shared" si="8"/>
        <v>246.00773792553875</v>
      </c>
      <c r="J30" s="10">
        <v>9.6600000000000005E-2</v>
      </c>
      <c r="K30" s="9">
        <f t="shared" si="9"/>
        <v>23.764347483607043</v>
      </c>
      <c r="W30" s="3" t="s">
        <v>362</v>
      </c>
    </row>
    <row r="31" spans="1:26" x14ac:dyDescent="0.35">
      <c r="A31" s="91">
        <f>GFA!D195</f>
        <v>3533.7143286334531</v>
      </c>
      <c r="B31" s="7" t="s">
        <v>8</v>
      </c>
      <c r="C31" s="9">
        <f>EC!AT13*60/366</f>
        <v>131.06886847237894</v>
      </c>
      <c r="D31" s="9">
        <f>EC!AU13*2/12</f>
        <v>1.1797732824799618</v>
      </c>
      <c r="E31" s="9">
        <f>'O&amp;M (Summary)'!Y13*1/12</f>
        <v>9.0108192080038965</v>
      </c>
      <c r="F31" s="9">
        <f t="shared" si="7"/>
        <v>35.337143286334531</v>
      </c>
      <c r="G31" s="9">
        <f>ARR!AG13*45/366</f>
        <v>172.64262295081969</v>
      </c>
      <c r="H31" s="9">
        <f t="shared" si="10"/>
        <v>0.49157220103331745</v>
      </c>
      <c r="I31" s="9">
        <f t="shared" si="8"/>
        <v>348.74765499898371</v>
      </c>
      <c r="J31" s="10">
        <v>9.6600000000000005E-2</v>
      </c>
      <c r="K31" s="9">
        <f t="shared" si="9"/>
        <v>33.68902347290183</v>
      </c>
      <c r="W31" s="6" t="s">
        <v>9</v>
      </c>
      <c r="X31" s="6" t="s">
        <v>10</v>
      </c>
      <c r="Y31" s="6" t="s">
        <v>348</v>
      </c>
      <c r="Z31" s="6" t="s">
        <v>349</v>
      </c>
    </row>
    <row r="32" spans="1:26" ht="31" x14ac:dyDescent="0.35">
      <c r="A32" s="91">
        <f>GFA!D214</f>
        <v>6553.0545440712413</v>
      </c>
      <c r="B32" s="7" t="s">
        <v>157</v>
      </c>
      <c r="C32" s="9">
        <f>EC!AT14*60/366</f>
        <v>230.54585761766126</v>
      </c>
      <c r="D32" s="9">
        <f>EC!AU14*2/12</f>
        <v>1.5725793816309697</v>
      </c>
      <c r="E32" s="9">
        <f>'O&amp;M (Summary)'!Y14*1/12</f>
        <v>19.975331744881824</v>
      </c>
      <c r="F32" s="9">
        <f t="shared" si="7"/>
        <v>65.530545440712416</v>
      </c>
      <c r="G32" s="9">
        <f>ARR!AG14*45/366</f>
        <v>329.144262295082</v>
      </c>
      <c r="H32" s="9">
        <f t="shared" si="10"/>
        <v>0.65524140901290406</v>
      </c>
      <c r="I32" s="9">
        <f t="shared" si="8"/>
        <v>646.1133350709556</v>
      </c>
      <c r="J32" s="10">
        <v>9.6600000000000005E-2</v>
      </c>
      <c r="K32" s="9">
        <f t="shared" si="9"/>
        <v>62.414548167854313</v>
      </c>
      <c r="W32" s="84" t="s">
        <v>350</v>
      </c>
      <c r="X32" s="8" t="s">
        <v>14</v>
      </c>
      <c r="Y32" s="8" t="s">
        <v>351</v>
      </c>
      <c r="Z32" s="9">
        <v>923.72999999999979</v>
      </c>
    </row>
    <row r="33" spans="1:26" ht="31" x14ac:dyDescent="0.35">
      <c r="A33" s="91">
        <f>GFA!D233</f>
        <v>12413.422826914333</v>
      </c>
      <c r="B33" s="7" t="s">
        <v>158</v>
      </c>
      <c r="C33" s="9">
        <f>EC!AT15*60/366</f>
        <v>416.34109611667128</v>
      </c>
      <c r="D33" s="9">
        <f>EC!AU15*2/12</f>
        <v>3.189249014291196</v>
      </c>
      <c r="E33" s="9">
        <f>'O&amp;M (Summary)'!Y15*1/12</f>
        <v>32.808923458743173</v>
      </c>
      <c r="F33" s="9">
        <f t="shared" si="7"/>
        <v>124.13422826914334</v>
      </c>
      <c r="G33" s="9">
        <f>ARR!AG15*45/366</f>
        <v>460.75327868852463</v>
      </c>
      <c r="H33" s="9">
        <f t="shared" si="10"/>
        <v>1.3288537559546649</v>
      </c>
      <c r="I33" s="9">
        <f t="shared" si="8"/>
        <v>1035.8979217914189</v>
      </c>
      <c r="J33" s="10">
        <v>9.6600000000000005E-2</v>
      </c>
      <c r="K33" s="9">
        <f t="shared" si="9"/>
        <v>100.06773924505107</v>
      </c>
      <c r="W33" s="84" t="s">
        <v>352</v>
      </c>
      <c r="X33" s="8" t="s">
        <v>14</v>
      </c>
      <c r="Y33" s="8" t="s">
        <v>353</v>
      </c>
      <c r="Z33" s="9">
        <v>2511.5100000000002</v>
      </c>
    </row>
    <row r="34" spans="1:26" ht="30" x14ac:dyDescent="0.35">
      <c r="A34" s="91">
        <f>GFA!D252</f>
        <v>6020.5194239029879</v>
      </c>
      <c r="B34" s="7" t="s">
        <v>159</v>
      </c>
      <c r="C34" s="9">
        <f>EC!AT16*60/366</f>
        <v>322.64605875020709</v>
      </c>
      <c r="D34" s="9">
        <f>EC!AU16*2/12</f>
        <v>2.266269274224654</v>
      </c>
      <c r="E34" s="9">
        <f>'O&amp;M (Summary)'!Y16*1/12</f>
        <v>18.720733908579604</v>
      </c>
      <c r="F34" s="9">
        <f t="shared" si="7"/>
        <v>60.205194239029879</v>
      </c>
      <c r="G34" s="9">
        <f>ARR!AG16*45/366</f>
        <v>339.69221311475405</v>
      </c>
      <c r="H34" s="9">
        <f t="shared" si="10"/>
        <v>0.94427886426027252</v>
      </c>
      <c r="I34" s="9">
        <f t="shared" si="8"/>
        <v>742.58619042253508</v>
      </c>
      <c r="J34" s="10">
        <v>9.6600000000000005E-2</v>
      </c>
      <c r="K34" s="9">
        <f t="shared" si="9"/>
        <v>71.733825994816897</v>
      </c>
      <c r="W34" s="15" t="s">
        <v>363</v>
      </c>
      <c r="X34" s="12" t="s">
        <v>14</v>
      </c>
      <c r="Y34" s="133" t="s">
        <v>364</v>
      </c>
      <c r="Z34" s="13">
        <f>MAX(0,Z32-Z33)</f>
        <v>0</v>
      </c>
    </row>
    <row r="35" spans="1:26" x14ac:dyDescent="0.35">
      <c r="A35" s="91">
        <f>GFA!D271</f>
        <v>1820.4664416130279</v>
      </c>
      <c r="B35" s="7" t="s">
        <v>160</v>
      </c>
      <c r="C35" s="9">
        <f>EC!AT17*60/366</f>
        <v>44.091697205103095</v>
      </c>
      <c r="D35" s="9">
        <f>EC!AU17*2/12</f>
        <v>0.30431754342858691</v>
      </c>
      <c r="E35" s="9">
        <f>'O&amp;M (Summary)'!Y17*1/12</f>
        <v>7.4537839884810646</v>
      </c>
      <c r="F35" s="9">
        <f t="shared" si="7"/>
        <v>18.204664416130278</v>
      </c>
      <c r="G35" s="9">
        <f>ARR!AG17*45/366</f>
        <v>70.019262295081958</v>
      </c>
      <c r="H35" s="9">
        <f t="shared" si="10"/>
        <v>0.12679897642857788</v>
      </c>
      <c r="I35" s="9">
        <f t="shared" si="8"/>
        <v>139.94692647179642</v>
      </c>
      <c r="J35" s="10">
        <v>9.6600000000000005E-2</v>
      </c>
      <c r="K35" s="9">
        <f t="shared" si="9"/>
        <v>13.518873097175534</v>
      </c>
    </row>
    <row r="36" spans="1:26" x14ac:dyDescent="0.35">
      <c r="A36" s="91">
        <f>GFA!D290</f>
        <v>261.00150587050007</v>
      </c>
      <c r="B36" s="7" t="s">
        <v>161</v>
      </c>
      <c r="C36" s="9"/>
      <c r="D36" s="9"/>
      <c r="E36" s="9">
        <f>'O&amp;M (Summary)'!Y18*1/12</f>
        <v>17.092055843911258</v>
      </c>
      <c r="F36" s="9">
        <f t="shared" si="7"/>
        <v>2.6100150587050006</v>
      </c>
      <c r="G36" s="9">
        <f>ARR!AG18*45/366</f>
        <v>97.195081967213113</v>
      </c>
      <c r="H36" s="9"/>
      <c r="I36" s="9">
        <f t="shared" si="8"/>
        <v>116.89715286982937</v>
      </c>
      <c r="J36" s="10">
        <v>9.6600000000000005E-2</v>
      </c>
      <c r="K36" s="9">
        <f t="shared" si="9"/>
        <v>11.292264967225517</v>
      </c>
      <c r="W36" s="3" t="s">
        <v>365</v>
      </c>
    </row>
    <row r="37" spans="1:26" x14ac:dyDescent="0.35">
      <c r="B37" s="12" t="s">
        <v>27</v>
      </c>
      <c r="C37" s="13">
        <f>SUM(C23:C36)</f>
        <v>2165.2904342587058</v>
      </c>
      <c r="D37" s="13">
        <f t="shared" ref="D37:K37" si="11">SUM(D23:D36)</f>
        <v>31.910340307706008</v>
      </c>
      <c r="E37" s="13">
        <f t="shared" si="11"/>
        <v>268.01830740748483</v>
      </c>
      <c r="F37" s="13">
        <f t="shared" si="11"/>
        <v>472.23774490793539</v>
      </c>
      <c r="G37" s="13">
        <f t="shared" si="11"/>
        <v>2693.4122950819669</v>
      </c>
      <c r="H37" s="13">
        <f t="shared" si="11"/>
        <v>13.295975128210836</v>
      </c>
      <c r="I37" s="13">
        <f t="shared" si="11"/>
        <v>5617.5731468355871</v>
      </c>
      <c r="J37" s="7"/>
      <c r="K37" s="13">
        <f t="shared" si="11"/>
        <v>542.65756598431778</v>
      </c>
      <c r="W37" s="6" t="s">
        <v>9</v>
      </c>
      <c r="X37" s="6" t="s">
        <v>10</v>
      </c>
      <c r="Y37" s="6" t="s">
        <v>348</v>
      </c>
      <c r="Z37" s="6" t="s">
        <v>349</v>
      </c>
    </row>
    <row r="38" spans="1:26" ht="31" x14ac:dyDescent="0.35">
      <c r="W38" s="84" t="s">
        <v>350</v>
      </c>
      <c r="X38" s="8" t="s">
        <v>14</v>
      </c>
      <c r="Y38" s="8" t="s">
        <v>351</v>
      </c>
      <c r="Z38" s="9">
        <v>1184.8599999999997</v>
      </c>
    </row>
    <row r="39" spans="1:26" ht="31" x14ac:dyDescent="0.35">
      <c r="B39" s="3" t="s">
        <v>32</v>
      </c>
      <c r="W39" s="84" t="s">
        <v>352</v>
      </c>
      <c r="X39" s="8" t="s">
        <v>14</v>
      </c>
      <c r="Y39" s="8" t="s">
        <v>353</v>
      </c>
      <c r="Z39" s="9">
        <v>1108.1600000000001</v>
      </c>
    </row>
    <row r="40" spans="1:26" ht="45" x14ac:dyDescent="0.35">
      <c r="B40" s="6" t="s">
        <v>170</v>
      </c>
      <c r="C40" s="96" t="s">
        <v>287</v>
      </c>
      <c r="D40" s="96" t="s">
        <v>288</v>
      </c>
      <c r="E40" s="96" t="s">
        <v>343</v>
      </c>
      <c r="F40" s="6" t="s">
        <v>344</v>
      </c>
      <c r="G40" s="6" t="s">
        <v>345</v>
      </c>
      <c r="H40" s="96" t="s">
        <v>346</v>
      </c>
      <c r="I40" s="96" t="s">
        <v>347</v>
      </c>
      <c r="J40" s="96" t="s">
        <v>67</v>
      </c>
      <c r="K40" s="6" t="s">
        <v>26</v>
      </c>
      <c r="W40" s="15" t="s">
        <v>363</v>
      </c>
      <c r="X40" s="12" t="s">
        <v>14</v>
      </c>
      <c r="Y40" s="133" t="s">
        <v>364</v>
      </c>
      <c r="Z40" s="13">
        <f>MAX(Z38-Z39,0)</f>
        <v>76.699999999999591</v>
      </c>
    </row>
    <row r="41" spans="1:26" x14ac:dyDescent="0.35">
      <c r="A41" s="91">
        <f>GFA!L24</f>
        <v>458.0331644125207</v>
      </c>
      <c r="B41" s="7" t="s">
        <v>43</v>
      </c>
      <c r="C41" s="9">
        <f>EC!AT23*60/365</f>
        <v>11.332497851486476</v>
      </c>
      <c r="D41" s="9">
        <f>EC!AU23*2/12</f>
        <v>0.21459987561677896</v>
      </c>
      <c r="E41" s="9">
        <f>'O&amp;M (Summary)'!Y24*1/12</f>
        <v>9.128230877338801</v>
      </c>
      <c r="F41" s="9">
        <f>1%*A41</f>
        <v>4.5803316441252075</v>
      </c>
      <c r="G41" s="9">
        <f>ARR!AG24*45/365</f>
        <v>27.161232349315071</v>
      </c>
      <c r="H41" s="9">
        <f>D41*25/60</f>
        <v>8.9416614840324565E-2</v>
      </c>
      <c r="I41" s="9">
        <f t="shared" ref="I41" si="12">SUM(C41:G41)-H41</f>
        <v>52.327475983042014</v>
      </c>
      <c r="J41" s="10">
        <v>8.5699999999999998E-2</v>
      </c>
      <c r="K41" s="9">
        <f t="shared" ref="K41:K54" si="13">I41*J41</f>
        <v>4.4844646917467008</v>
      </c>
    </row>
    <row r="42" spans="1:26" x14ac:dyDescent="0.35">
      <c r="A42" s="91">
        <f>GFA!L43</f>
        <v>3790.6165042991697</v>
      </c>
      <c r="B42" s="7" t="s">
        <v>150</v>
      </c>
      <c r="C42" s="9">
        <f>EC!AT24*60/365</f>
        <v>403.34859632421507</v>
      </c>
      <c r="D42" s="9">
        <f>EC!AU24*2/12</f>
        <v>5.2554546721643209</v>
      </c>
      <c r="E42" s="9">
        <f>'O&amp;M (Summary)'!Y25*1/12</f>
        <v>55.279047204849057</v>
      </c>
      <c r="F42" s="9">
        <f t="shared" ref="F42:F54" si="14">1%*A42</f>
        <v>37.906165042991695</v>
      </c>
      <c r="G42" s="9">
        <f>ARR!AG25*45/365</f>
        <v>352.54242506712336</v>
      </c>
      <c r="H42" s="9">
        <f t="shared" ref="H42:H53" si="15">D42*25/60</f>
        <v>2.1897727800684672</v>
      </c>
      <c r="I42" s="9">
        <f t="shared" ref="I42:I54" si="16">SUM(C42:G42)-H42</f>
        <v>852.141915531275</v>
      </c>
      <c r="J42" s="10">
        <v>8.5699999999999998E-2</v>
      </c>
      <c r="K42" s="9">
        <f t="shared" si="13"/>
        <v>73.028562161030266</v>
      </c>
    </row>
    <row r="43" spans="1:26" x14ac:dyDescent="0.35">
      <c r="A43" s="91">
        <f>GFA!L62</f>
        <v>2588.1212421549994</v>
      </c>
      <c r="B43" s="7" t="s">
        <v>151</v>
      </c>
      <c r="C43" s="9">
        <f>EC!AT25*60/365</f>
        <v>214.78257442114833</v>
      </c>
      <c r="D43" s="9">
        <f>EC!AU25*2/12</f>
        <v>4.0170979290791404</v>
      </c>
      <c r="E43" s="9">
        <f>'O&amp;M (Summary)'!Y26*1/12</f>
        <v>30.631443365692405</v>
      </c>
      <c r="F43" s="9">
        <f t="shared" si="14"/>
        <v>25.881212421549996</v>
      </c>
      <c r="G43" s="9">
        <f>ARR!AG26*45/365</f>
        <v>204.0295797493151</v>
      </c>
      <c r="H43" s="9">
        <f t="shared" si="15"/>
        <v>1.6737908037829752</v>
      </c>
      <c r="I43" s="9">
        <f t="shared" si="16"/>
        <v>477.66811708300196</v>
      </c>
      <c r="J43" s="10">
        <v>8.5699999999999998E-2</v>
      </c>
      <c r="K43" s="9">
        <f t="shared" si="13"/>
        <v>40.93615763401327</v>
      </c>
    </row>
    <row r="44" spans="1:26" x14ac:dyDescent="0.35">
      <c r="A44" s="91">
        <f>GFA!L81</f>
        <v>1292.1702171753141</v>
      </c>
      <c r="B44" s="7" t="s">
        <v>44</v>
      </c>
      <c r="C44" s="9">
        <f>EC!AT26*60/365</f>
        <v>20.386909117227415</v>
      </c>
      <c r="D44" s="9">
        <f>EC!AU26*2/12</f>
        <v>0.77038725983109391</v>
      </c>
      <c r="E44" s="9">
        <f>'O&amp;M (Summary)'!Y27*1/12</f>
        <v>18.062489850643178</v>
      </c>
      <c r="F44" s="9">
        <f t="shared" si="14"/>
        <v>12.921702171753141</v>
      </c>
      <c r="G44" s="9">
        <f>ARR!AG27*45/365</f>
        <v>63.051308371232878</v>
      </c>
      <c r="H44" s="9">
        <f t="shared" si="15"/>
        <v>0.32099469159628913</v>
      </c>
      <c r="I44" s="9">
        <f t="shared" si="16"/>
        <v>114.87180207909142</v>
      </c>
      <c r="J44" s="10">
        <v>8.5699999999999998E-2</v>
      </c>
      <c r="K44" s="9">
        <f t="shared" si="13"/>
        <v>9.8445134381781347</v>
      </c>
    </row>
    <row r="45" spans="1:26" x14ac:dyDescent="0.35">
      <c r="A45" s="91">
        <f>GFA!L100</f>
        <v>787.74009852800009</v>
      </c>
      <c r="B45" s="7" t="s">
        <v>152</v>
      </c>
      <c r="C45" s="9">
        <f>EC!AT27*60/365</f>
        <v>39.692249863755677</v>
      </c>
      <c r="D45" s="9">
        <f>EC!AU27*2/12</f>
        <v>0.51899244304176728</v>
      </c>
      <c r="E45" s="9">
        <f>'O&amp;M (Summary)'!Y28*1/12</f>
        <v>25.802851799055816</v>
      </c>
      <c r="F45" s="9">
        <f t="shared" si="14"/>
        <v>7.8774009852800013</v>
      </c>
      <c r="G45" s="9">
        <f>ARR!AG28*45/365</f>
        <v>88.759726027397264</v>
      </c>
      <c r="H45" s="9">
        <f t="shared" si="15"/>
        <v>0.21624685126740303</v>
      </c>
      <c r="I45" s="9">
        <f t="shared" si="16"/>
        <v>162.43497426726313</v>
      </c>
      <c r="J45" s="10">
        <v>8.5699999999999998E-2</v>
      </c>
      <c r="K45" s="9">
        <f t="shared" si="13"/>
        <v>13.920677294704451</v>
      </c>
    </row>
    <row r="46" spans="1:26" x14ac:dyDescent="0.35">
      <c r="A46" s="91">
        <f>GFA!L138</f>
        <v>1697.3416862759998</v>
      </c>
      <c r="B46" s="7" t="s">
        <v>154</v>
      </c>
      <c r="C46" s="9">
        <f>EC!AT28*60/365</f>
        <v>48.50104343745619</v>
      </c>
      <c r="D46" s="9">
        <f>EC!AU28*2/12</f>
        <v>0</v>
      </c>
      <c r="E46" s="9">
        <f>'O&amp;M (Summary)'!Y29*1/12</f>
        <v>7.8787194151522622</v>
      </c>
      <c r="F46" s="9">
        <f t="shared" si="14"/>
        <v>16.973416862759997</v>
      </c>
      <c r="G46" s="9">
        <f>ARR!AG29*45/365</f>
        <v>52.175835616438356</v>
      </c>
      <c r="H46" s="9">
        <f t="shared" si="15"/>
        <v>0</v>
      </c>
      <c r="I46" s="9">
        <f t="shared" si="16"/>
        <v>125.52901533180679</v>
      </c>
      <c r="J46" s="10">
        <v>8.5699999999999998E-2</v>
      </c>
      <c r="K46" s="9">
        <f t="shared" si="13"/>
        <v>10.757836613935842</v>
      </c>
    </row>
    <row r="47" spans="1:26" x14ac:dyDescent="0.35">
      <c r="A47" s="91">
        <f>GFA!L157</f>
        <v>3216.8162603577825</v>
      </c>
      <c r="B47" s="7" t="s">
        <v>155</v>
      </c>
      <c r="C47" s="9">
        <f>EC!AT29*60/365</f>
        <v>151.11311445259341</v>
      </c>
      <c r="D47" s="9">
        <f>EC!AU29*2/12</f>
        <v>0.96204745425669247</v>
      </c>
      <c r="E47" s="9">
        <f>'O&amp;M (Summary)'!Y30*1/12</f>
        <v>14.105417595285417</v>
      </c>
      <c r="F47" s="9">
        <f t="shared" si="14"/>
        <v>32.168162603577827</v>
      </c>
      <c r="G47" s="9">
        <f>ARR!AG30*45/365</f>
        <v>169.49958904109587</v>
      </c>
      <c r="H47" s="9">
        <f t="shared" si="15"/>
        <v>0.4008531059402885</v>
      </c>
      <c r="I47" s="9">
        <f t="shared" si="16"/>
        <v>367.44747804086887</v>
      </c>
      <c r="J47" s="10">
        <v>8.5699999999999998E-2</v>
      </c>
      <c r="K47" s="9">
        <f t="shared" si="13"/>
        <v>31.490248868102462</v>
      </c>
    </row>
    <row r="48" spans="1:26" x14ac:dyDescent="0.35">
      <c r="A48" s="91">
        <f>GFA!L176</f>
        <v>2981.4073425762008</v>
      </c>
      <c r="B48" s="7" t="s">
        <v>156</v>
      </c>
      <c r="C48" s="9">
        <f>EC!AT30*60/365</f>
        <v>72.813206922793668</v>
      </c>
      <c r="D48" s="9">
        <f>EC!AU30*2/12</f>
        <v>0.54549932539784518</v>
      </c>
      <c r="E48" s="9">
        <f>'O&amp;M (Summary)'!Y31*1/12</f>
        <v>14.372465500490806</v>
      </c>
      <c r="F48" s="9">
        <f t="shared" si="14"/>
        <v>29.814073425762007</v>
      </c>
      <c r="G48" s="9">
        <f>ARR!AG31*45/365</f>
        <v>115.74028393150684</v>
      </c>
      <c r="H48" s="9">
        <f t="shared" si="15"/>
        <v>0.2272913855824355</v>
      </c>
      <c r="I48" s="9">
        <f t="shared" si="16"/>
        <v>233.05823772036871</v>
      </c>
      <c r="J48" s="10">
        <v>8.5699999999999998E-2</v>
      </c>
      <c r="K48" s="9">
        <f t="shared" si="13"/>
        <v>19.9730909726356</v>
      </c>
    </row>
    <row r="49" spans="1:11" x14ac:dyDescent="0.35">
      <c r="A49" s="91">
        <f>GFA!L195</f>
        <v>3539.2643286334533</v>
      </c>
      <c r="B49" s="7" t="s">
        <v>8</v>
      </c>
      <c r="C49" s="9">
        <f>EC!AT31*60/365</f>
        <v>118.98701312989439</v>
      </c>
      <c r="D49" s="9">
        <f>EC!AU31*2/12</f>
        <v>1.0910663380082903</v>
      </c>
      <c r="E49" s="9">
        <f>'O&amp;M (Summary)'!Y32*1/12</f>
        <v>11.451295885075369</v>
      </c>
      <c r="F49" s="9">
        <f t="shared" si="14"/>
        <v>35.392643286334533</v>
      </c>
      <c r="G49" s="9">
        <f>ARR!AG32*45/365</f>
        <v>147.00821919041095</v>
      </c>
      <c r="H49" s="9">
        <f t="shared" si="15"/>
        <v>0.45461097417012097</v>
      </c>
      <c r="I49" s="9">
        <f t="shared" si="16"/>
        <v>313.4756268555534</v>
      </c>
      <c r="J49" s="10">
        <v>8.5699999999999998E-2</v>
      </c>
      <c r="K49" s="9">
        <f t="shared" si="13"/>
        <v>26.864861221520925</v>
      </c>
    </row>
    <row r="50" spans="1:11" x14ac:dyDescent="0.35">
      <c r="A50" s="91">
        <f>GFA!L214</f>
        <v>6678.7900236858768</v>
      </c>
      <c r="B50" s="7" t="s">
        <v>157</v>
      </c>
      <c r="C50" s="9">
        <f>EC!AT32*60/365</f>
        <v>211.64292697283338</v>
      </c>
      <c r="D50" s="9">
        <f>EC!AU32*2/12</f>
        <v>1.4330918312790504</v>
      </c>
      <c r="E50" s="9">
        <f>'O&amp;M (Summary)'!Y33*1/12</f>
        <v>20.083508812194903</v>
      </c>
      <c r="F50" s="9">
        <f t="shared" si="14"/>
        <v>66.787900236858775</v>
      </c>
      <c r="G50" s="9">
        <f>ARR!AG33*45/365</f>
        <v>287.59315069726023</v>
      </c>
      <c r="H50" s="9">
        <f t="shared" si="15"/>
        <v>0.59712159636627105</v>
      </c>
      <c r="I50" s="9">
        <f t="shared" si="16"/>
        <v>586.94345695406003</v>
      </c>
      <c r="J50" s="10">
        <v>8.5699999999999998E-2</v>
      </c>
      <c r="K50" s="9">
        <f t="shared" si="13"/>
        <v>50.301054260962943</v>
      </c>
    </row>
    <row r="51" spans="1:11" x14ac:dyDescent="0.35">
      <c r="A51" s="91">
        <f>GFA!L233</f>
        <v>12628.415409740333</v>
      </c>
      <c r="B51" s="7" t="s">
        <v>158</v>
      </c>
      <c r="C51" s="9">
        <f>EC!AT33*60/365</f>
        <v>320.23465377401607</v>
      </c>
      <c r="D51" s="9">
        <f>EC!AU33*2/12</f>
        <v>2.3937346365766068</v>
      </c>
      <c r="E51" s="9">
        <f>'O&amp;M (Summary)'!Y34*1/12</f>
        <v>35.439173175344123</v>
      </c>
      <c r="F51" s="9">
        <f t="shared" si="14"/>
        <v>126.28415409740333</v>
      </c>
      <c r="G51" s="9">
        <f>ARR!AG34*45/365</f>
        <v>442.15966172465755</v>
      </c>
      <c r="H51" s="9">
        <f t="shared" si="15"/>
        <v>0.99738943190691953</v>
      </c>
      <c r="I51" s="9">
        <f t="shared" si="16"/>
        <v>925.51398797609079</v>
      </c>
      <c r="J51" s="10">
        <v>8.5699999999999998E-2</v>
      </c>
      <c r="K51" s="9">
        <f t="shared" si="13"/>
        <v>79.316548769550977</v>
      </c>
    </row>
    <row r="52" spans="1:11" x14ac:dyDescent="0.35">
      <c r="A52" s="91">
        <f>GFA!L252</f>
        <v>6027.6794101369887</v>
      </c>
      <c r="B52" s="7" t="s">
        <v>159</v>
      </c>
      <c r="C52" s="9">
        <f>EC!AT34*60/365</f>
        <v>273.8351083481781</v>
      </c>
      <c r="D52" s="9">
        <f>EC!AU34*2/12</f>
        <v>2.0854361002408268</v>
      </c>
      <c r="E52" s="9">
        <f>'O&amp;M (Summary)'!Y35*1/12</f>
        <v>20.539451866943519</v>
      </c>
      <c r="F52" s="9">
        <f t="shared" si="14"/>
        <v>60.276794101369887</v>
      </c>
      <c r="G52" s="9">
        <f>ARR!AG35*45/365</f>
        <v>336.82943587808222</v>
      </c>
      <c r="H52" s="9">
        <f t="shared" si="15"/>
        <v>0.86893170843367784</v>
      </c>
      <c r="I52" s="9">
        <f t="shared" si="16"/>
        <v>692.69729458638085</v>
      </c>
      <c r="J52" s="10">
        <v>8.5699999999999998E-2</v>
      </c>
      <c r="K52" s="9">
        <f t="shared" si="13"/>
        <v>59.364158146052837</v>
      </c>
    </row>
    <row r="53" spans="1:11" x14ac:dyDescent="0.35">
      <c r="A53" s="91">
        <f>GFA!L271</f>
        <v>1828.6070898720282</v>
      </c>
      <c r="B53" s="7" t="s">
        <v>160</v>
      </c>
      <c r="C53" s="9">
        <f>EC!AT35*60/365</f>
        <v>51.45882841746301</v>
      </c>
      <c r="D53" s="9">
        <f>EC!AU35*2/12</f>
        <v>0.38831109640686212</v>
      </c>
      <c r="E53" s="9">
        <f>'O&amp;M (Summary)'!Y36*1/12</f>
        <v>7.5023250884207551</v>
      </c>
      <c r="F53" s="9">
        <f t="shared" si="14"/>
        <v>18.286070898720283</v>
      </c>
      <c r="G53" s="9">
        <f>ARR!AG36*45/365</f>
        <v>86.689726027397256</v>
      </c>
      <c r="H53" s="9">
        <f t="shared" si="15"/>
        <v>0.1617962901695259</v>
      </c>
      <c r="I53" s="9">
        <f t="shared" si="16"/>
        <v>164.16346523823864</v>
      </c>
      <c r="J53" s="10">
        <v>8.5699999999999998E-2</v>
      </c>
      <c r="K53" s="9">
        <f t="shared" si="13"/>
        <v>14.068808970917052</v>
      </c>
    </row>
    <row r="54" spans="1:11" x14ac:dyDescent="0.35">
      <c r="A54" s="91">
        <f>GFA!L290</f>
        <v>273.30823917050003</v>
      </c>
      <c r="B54" s="7" t="s">
        <v>161</v>
      </c>
      <c r="C54" s="9"/>
      <c r="D54" s="9"/>
      <c r="E54" s="9">
        <f>'O&amp;M (Summary)'!Y37*1/12</f>
        <v>19.506364289890481</v>
      </c>
      <c r="F54" s="9">
        <f t="shared" si="14"/>
        <v>2.7330823917050004</v>
      </c>
      <c r="G54" s="9">
        <f>ARR!AG37*45/365</f>
        <v>104.02816438356166</v>
      </c>
      <c r="H54" s="9"/>
      <c r="I54" s="9">
        <f t="shared" si="16"/>
        <v>126.26761106515714</v>
      </c>
      <c r="J54" s="10">
        <v>8.5699999999999998E-2</v>
      </c>
      <c r="K54" s="9">
        <f t="shared" si="13"/>
        <v>10.821134268283966</v>
      </c>
    </row>
    <row r="55" spans="1:11" x14ac:dyDescent="0.35">
      <c r="B55" s="12" t="s">
        <v>27</v>
      </c>
      <c r="C55" s="13">
        <f>SUM(C41:C54)</f>
        <v>1938.1287230330615</v>
      </c>
      <c r="D55" s="13">
        <f t="shared" ref="D55:K55" si="17">SUM(D41:D54)</f>
        <v>19.675718961899278</v>
      </c>
      <c r="E55" s="13">
        <f t="shared" si="17"/>
        <v>289.78278472637692</v>
      </c>
      <c r="F55" s="13">
        <f t="shared" si="17"/>
        <v>477.88311017019169</v>
      </c>
      <c r="G55" s="13">
        <f t="shared" si="17"/>
        <v>2477.2683380547942</v>
      </c>
      <c r="H55" s="13">
        <f t="shared" si="17"/>
        <v>8.1982162341246987</v>
      </c>
      <c r="I55" s="13">
        <f t="shared" si="17"/>
        <v>5194.5404587121993</v>
      </c>
      <c r="J55" s="7"/>
      <c r="K55" s="13">
        <f t="shared" si="17"/>
        <v>445.17211731163547</v>
      </c>
    </row>
    <row r="57" spans="1:11" x14ac:dyDescent="0.35">
      <c r="B57" s="3" t="s">
        <v>33</v>
      </c>
    </row>
    <row r="58" spans="1:11" ht="45" x14ac:dyDescent="0.35">
      <c r="B58" s="6" t="s">
        <v>170</v>
      </c>
      <c r="C58" s="96" t="s">
        <v>287</v>
      </c>
      <c r="D58" s="96" t="s">
        <v>288</v>
      </c>
      <c r="E58" s="96" t="s">
        <v>343</v>
      </c>
      <c r="F58" s="6" t="s">
        <v>344</v>
      </c>
      <c r="G58" s="6" t="s">
        <v>345</v>
      </c>
      <c r="H58" s="96" t="s">
        <v>346</v>
      </c>
      <c r="I58" s="96" t="s">
        <v>347</v>
      </c>
      <c r="J58" s="96" t="s">
        <v>67</v>
      </c>
      <c r="K58" s="6" t="s">
        <v>26</v>
      </c>
    </row>
    <row r="59" spans="1:11" x14ac:dyDescent="0.35">
      <c r="A59" s="91">
        <f>GFA!T24</f>
        <v>464.20316441252072</v>
      </c>
      <c r="B59" s="7" t="s">
        <v>43</v>
      </c>
      <c r="C59" s="9">
        <f>EC!AV41*60/365</f>
        <v>29.09791734614409</v>
      </c>
      <c r="D59" s="9"/>
      <c r="E59" s="9">
        <f>'O&amp;M (Summary)'!Y43*1/12</f>
        <v>9.6120687126477904</v>
      </c>
      <c r="F59" s="9">
        <f>1%*A59</f>
        <v>4.6420316441252076</v>
      </c>
      <c r="G59" s="9">
        <f>ARR!AG43*45/365</f>
        <v>35.508698630136983</v>
      </c>
      <c r="H59" s="9">
        <f t="shared" ref="H59:H71" si="18">D59*25/60</f>
        <v>0</v>
      </c>
      <c r="I59" s="9">
        <f t="shared" ref="I59:I72" si="19">SUM(C59:G59)-H59</f>
        <v>78.860716333054086</v>
      </c>
      <c r="J59" s="10">
        <v>8.5000000000000006E-2</v>
      </c>
      <c r="K59" s="9">
        <f t="shared" ref="K59:K72" si="20">I59*J59</f>
        <v>6.7031608883095979</v>
      </c>
    </row>
    <row r="60" spans="1:11" x14ac:dyDescent="0.35">
      <c r="A60" s="91">
        <f>GFA!T43</f>
        <v>3850.5080304901699</v>
      </c>
      <c r="B60" s="7" t="s">
        <v>150</v>
      </c>
      <c r="C60" s="9">
        <f>EC!AV42*60/365</f>
        <v>392.50607407310054</v>
      </c>
      <c r="D60" s="9"/>
      <c r="E60" s="9">
        <f>'O&amp;M (Summary)'!Y44*1/12</f>
        <v>55.062250357149821</v>
      </c>
      <c r="F60" s="9">
        <f t="shared" ref="F60:F72" si="21">1%*A60</f>
        <v>38.505080304901696</v>
      </c>
      <c r="G60" s="9">
        <f>ARR!AG44*45/365</f>
        <v>358.82716438356169</v>
      </c>
      <c r="H60" s="9">
        <f t="shared" si="18"/>
        <v>0</v>
      </c>
      <c r="I60" s="9">
        <f t="shared" si="19"/>
        <v>844.90056911871375</v>
      </c>
      <c r="J60" s="10">
        <v>8.5000000000000006E-2</v>
      </c>
      <c r="K60" s="9">
        <f t="shared" si="20"/>
        <v>71.816548375090676</v>
      </c>
    </row>
    <row r="61" spans="1:11" x14ac:dyDescent="0.35">
      <c r="A61" s="91">
        <f>GFA!T62</f>
        <v>2598.5857934879991</v>
      </c>
      <c r="B61" s="7" t="s">
        <v>151</v>
      </c>
      <c r="C61" s="9">
        <f>EC!AV43*60/365</f>
        <v>163.79036749116091</v>
      </c>
      <c r="D61" s="9"/>
      <c r="E61" s="9">
        <f>'O&amp;M (Summary)'!Y45*1/12</f>
        <v>31.063833342208142</v>
      </c>
      <c r="F61" s="9">
        <f t="shared" si="21"/>
        <v>25.985857934879991</v>
      </c>
      <c r="G61" s="9">
        <f>ARR!AG45*45/365</f>
        <v>172.87323287671231</v>
      </c>
      <c r="H61" s="9">
        <f t="shared" si="18"/>
        <v>0</v>
      </c>
      <c r="I61" s="9">
        <f t="shared" si="19"/>
        <v>393.71329164496137</v>
      </c>
      <c r="J61" s="10">
        <v>8.5000000000000006E-2</v>
      </c>
      <c r="K61" s="9">
        <f t="shared" si="20"/>
        <v>33.465629789821719</v>
      </c>
    </row>
    <row r="62" spans="1:11" x14ac:dyDescent="0.35">
      <c r="A62" s="91">
        <f>GFA!T81</f>
        <v>1399.6970383583141</v>
      </c>
      <c r="B62" s="7" t="s">
        <v>44</v>
      </c>
      <c r="C62" s="9">
        <f>EC!AV44*60/365</f>
        <v>42.393058086000444</v>
      </c>
      <c r="D62" s="9"/>
      <c r="E62" s="9">
        <f>'O&amp;M (Summary)'!Y46*1/12</f>
        <v>19.440854163416049</v>
      </c>
      <c r="F62" s="9">
        <f t="shared" si="21"/>
        <v>13.996970383583141</v>
      </c>
      <c r="G62" s="9">
        <f>ARR!AG46*45/365</f>
        <v>60.139849315068489</v>
      </c>
      <c r="H62" s="9">
        <f t="shared" si="18"/>
        <v>0</v>
      </c>
      <c r="I62" s="9">
        <f t="shared" si="19"/>
        <v>135.97073194806813</v>
      </c>
      <c r="J62" s="10">
        <v>8.5000000000000006E-2</v>
      </c>
      <c r="K62" s="9">
        <f t="shared" si="20"/>
        <v>11.557512215585792</v>
      </c>
    </row>
    <row r="63" spans="1:11" x14ac:dyDescent="0.35">
      <c r="A63" s="91">
        <f>GFA!T100</f>
        <v>791.5040160420001</v>
      </c>
      <c r="B63" s="7" t="s">
        <v>152</v>
      </c>
      <c r="C63" s="9">
        <f>EC!AV45*60/365</f>
        <v>119.97854499307714</v>
      </c>
      <c r="D63" s="9"/>
      <c r="E63" s="9">
        <f>'O&amp;M (Summary)'!Y47*1/12</f>
        <v>26.893015233795481</v>
      </c>
      <c r="F63" s="9">
        <f t="shared" si="21"/>
        <v>7.9150401604200011</v>
      </c>
      <c r="G63" s="9">
        <f>ARR!AG47*45/365</f>
        <v>143.0498219178082</v>
      </c>
      <c r="H63" s="9">
        <f t="shared" si="18"/>
        <v>0</v>
      </c>
      <c r="I63" s="9">
        <f t="shared" si="19"/>
        <v>297.83642230510083</v>
      </c>
      <c r="J63" s="10">
        <v>8.5000000000000006E-2</v>
      </c>
      <c r="K63" s="9">
        <f t="shared" si="20"/>
        <v>25.316095895933572</v>
      </c>
    </row>
    <row r="64" spans="1:11" x14ac:dyDescent="0.35">
      <c r="A64" s="91">
        <f>GFA!T138</f>
        <v>1705.4956386759998</v>
      </c>
      <c r="B64" s="7" t="s">
        <v>154</v>
      </c>
      <c r="C64" s="9">
        <f>EC!AV46*60/365</f>
        <v>55.957115989590321</v>
      </c>
      <c r="D64" s="9"/>
      <c r="E64" s="9">
        <f>'O&amp;M (Summary)'!Y48*1/12</f>
        <v>7.956823553265683</v>
      </c>
      <c r="F64" s="9">
        <f t="shared" si="21"/>
        <v>17.054956386759997</v>
      </c>
      <c r="G64" s="9">
        <f>ARR!AG48*45/365</f>
        <v>58.821410958904117</v>
      </c>
      <c r="H64" s="9">
        <f t="shared" si="18"/>
        <v>0</v>
      </c>
      <c r="I64" s="9">
        <f t="shared" si="19"/>
        <v>139.79030688852012</v>
      </c>
      <c r="J64" s="10">
        <v>8.5000000000000006E-2</v>
      </c>
      <c r="K64" s="9">
        <f t="shared" si="20"/>
        <v>11.882176085524211</v>
      </c>
    </row>
    <row r="65" spans="1:11" x14ac:dyDescent="0.35">
      <c r="A65" s="91">
        <f>GFA!T157</f>
        <v>3226.7562603577826</v>
      </c>
      <c r="B65" s="7" t="s">
        <v>155</v>
      </c>
      <c r="C65" s="9">
        <f>EC!AV47*60/365</f>
        <v>126.05872247069932</v>
      </c>
      <c r="D65" s="9"/>
      <c r="E65" s="9">
        <f>'O&amp;M (Summary)'!Y49*1/12</f>
        <v>14.667204670306235</v>
      </c>
      <c r="F65" s="9">
        <f t="shared" si="21"/>
        <v>32.267562603577829</v>
      </c>
      <c r="G65" s="9">
        <f>ARR!AG49*45/365</f>
        <v>153.19220547945204</v>
      </c>
      <c r="H65" s="9">
        <f t="shared" si="18"/>
        <v>0</v>
      </c>
      <c r="I65" s="9">
        <f t="shared" si="19"/>
        <v>326.18569522403544</v>
      </c>
      <c r="J65" s="10">
        <v>8.5000000000000006E-2</v>
      </c>
      <c r="K65" s="9">
        <f t="shared" si="20"/>
        <v>27.725784094043014</v>
      </c>
    </row>
    <row r="66" spans="1:11" x14ac:dyDescent="0.35">
      <c r="A66" s="91">
        <f>GFA!T176</f>
        <v>3007.7816866632006</v>
      </c>
      <c r="B66" s="7" t="s">
        <v>156</v>
      </c>
      <c r="C66" s="9">
        <f>EC!AV48*60/365</f>
        <v>101.19894696242879</v>
      </c>
      <c r="D66" s="9"/>
      <c r="E66" s="9">
        <f>'O&amp;M (Summary)'!Y50*1/12</f>
        <v>14.919673932307125</v>
      </c>
      <c r="F66" s="9">
        <f t="shared" si="21"/>
        <v>30.077816866632006</v>
      </c>
      <c r="G66" s="9">
        <f>ARR!AG50*45/365</f>
        <v>129.41408219178081</v>
      </c>
      <c r="H66" s="9">
        <f t="shared" si="18"/>
        <v>0</v>
      </c>
      <c r="I66" s="9">
        <f t="shared" si="19"/>
        <v>275.6105199531487</v>
      </c>
      <c r="J66" s="10">
        <v>8.5000000000000006E-2</v>
      </c>
      <c r="K66" s="9">
        <f t="shared" si="20"/>
        <v>23.426894196017642</v>
      </c>
    </row>
    <row r="67" spans="1:11" x14ac:dyDescent="0.35">
      <c r="A67" s="91">
        <f>GFA!T195</f>
        <v>3557.3347952474533</v>
      </c>
      <c r="B67" s="7" t="s">
        <v>8</v>
      </c>
      <c r="C67" s="9">
        <f>EC!AV49*60/365</f>
        <v>135.98879422442789</v>
      </c>
      <c r="D67" s="9"/>
      <c r="E67" s="9">
        <f>'O&amp;M (Summary)'!Y51*1/12</f>
        <v>12.258929729311687</v>
      </c>
      <c r="F67" s="9">
        <f t="shared" si="21"/>
        <v>35.573347952474535</v>
      </c>
      <c r="G67" s="9">
        <f>ARR!AG51*45/365</f>
        <v>174.26182191780819</v>
      </c>
      <c r="H67" s="9">
        <f t="shared" si="18"/>
        <v>0</v>
      </c>
      <c r="I67" s="9">
        <f t="shared" si="19"/>
        <v>358.08289382402234</v>
      </c>
      <c r="J67" s="10">
        <v>8.5000000000000006E-2</v>
      </c>
      <c r="K67" s="9">
        <f t="shared" si="20"/>
        <v>30.437045975041901</v>
      </c>
    </row>
    <row r="68" spans="1:11" x14ac:dyDescent="0.35">
      <c r="A68" s="91">
        <f>GFA!T214</f>
        <v>6681.4500236858757</v>
      </c>
      <c r="B68" s="7" t="s">
        <v>157</v>
      </c>
      <c r="C68" s="9">
        <f>EC!AV50*60/365</f>
        <v>255.7520603592242</v>
      </c>
      <c r="D68" s="9"/>
      <c r="E68" s="9">
        <f>'O&amp;M (Summary)'!Y52*1/12</f>
        <v>20.150106969268091</v>
      </c>
      <c r="F68" s="9">
        <f t="shared" si="21"/>
        <v>66.814500236858763</v>
      </c>
      <c r="G68" s="9">
        <f>ARR!AG52*45/365</f>
        <v>312.28236986301368</v>
      </c>
      <c r="H68" s="9">
        <f t="shared" si="18"/>
        <v>0</v>
      </c>
      <c r="I68" s="9">
        <f t="shared" si="19"/>
        <v>654.99903742836477</v>
      </c>
      <c r="J68" s="10">
        <v>8.5000000000000006E-2</v>
      </c>
      <c r="K68" s="9">
        <f t="shared" si="20"/>
        <v>55.674918181411009</v>
      </c>
    </row>
    <row r="69" spans="1:11" x14ac:dyDescent="0.35">
      <c r="A69" s="91">
        <f>GFA!T233</f>
        <v>12837.485409740335</v>
      </c>
      <c r="B69" s="7" t="s">
        <v>158</v>
      </c>
      <c r="C69" s="9">
        <f>EC!AV51*60/365</f>
        <v>413.73384211092514</v>
      </c>
      <c r="D69" s="9"/>
      <c r="E69" s="9">
        <f>'O&amp;M (Summary)'!Y53*1/12</f>
        <v>36.646997402332367</v>
      </c>
      <c r="F69" s="9">
        <f t="shared" si="21"/>
        <v>128.37485409740336</v>
      </c>
      <c r="G69" s="9">
        <f>ARR!AG53*45/365</f>
        <v>506.12745205479456</v>
      </c>
      <c r="H69" s="9">
        <f t="shared" si="18"/>
        <v>0</v>
      </c>
      <c r="I69" s="9">
        <f t="shared" si="19"/>
        <v>1084.8831456654555</v>
      </c>
      <c r="J69" s="10">
        <v>8.5000000000000006E-2</v>
      </c>
      <c r="K69" s="9">
        <f t="shared" si="20"/>
        <v>92.215067381563728</v>
      </c>
    </row>
    <row r="70" spans="1:11" x14ac:dyDescent="0.35">
      <c r="A70" s="91">
        <f>GFA!T252</f>
        <v>6098.4239491179887</v>
      </c>
      <c r="B70" s="7" t="s">
        <v>159</v>
      </c>
      <c r="C70" s="9">
        <f>EC!AV52*60/365</f>
        <v>265.37435611579178</v>
      </c>
      <c r="D70" s="9"/>
      <c r="E70" s="9">
        <f>'O&amp;M (Summary)'!Y54*1/12</f>
        <v>21.937784081952675</v>
      </c>
      <c r="F70" s="9">
        <f t="shared" si="21"/>
        <v>60.984239491179892</v>
      </c>
      <c r="G70" s="9">
        <f>ARR!AG54*45/365</f>
        <v>311.34661643835619</v>
      </c>
      <c r="H70" s="9">
        <f t="shared" si="18"/>
        <v>0</v>
      </c>
      <c r="I70" s="9">
        <f t="shared" si="19"/>
        <v>659.64299612728053</v>
      </c>
      <c r="J70" s="10">
        <v>8.5000000000000006E-2</v>
      </c>
      <c r="K70" s="9">
        <f t="shared" si="20"/>
        <v>56.069654670818849</v>
      </c>
    </row>
    <row r="71" spans="1:11" x14ac:dyDescent="0.35">
      <c r="A71" s="91">
        <f>GFA!T271</f>
        <v>1842.4108874810281</v>
      </c>
      <c r="B71" s="7" t="s">
        <v>160</v>
      </c>
      <c r="C71" s="9">
        <f>EC!AV53*60/365</f>
        <v>63.002776866155479</v>
      </c>
      <c r="D71" s="9"/>
      <c r="E71" s="9">
        <f>'O&amp;M (Summary)'!Y55*1/12</f>
        <v>7.6372462519404989</v>
      </c>
      <c r="F71" s="9">
        <f t="shared" si="21"/>
        <v>18.424108874810283</v>
      </c>
      <c r="G71" s="9">
        <f>ARR!AG55*45/365</f>
        <v>86.065027397260266</v>
      </c>
      <c r="H71" s="9">
        <f t="shared" si="18"/>
        <v>0</v>
      </c>
      <c r="I71" s="9">
        <f t="shared" si="19"/>
        <v>175.12915939016654</v>
      </c>
      <c r="J71" s="10">
        <v>8.5000000000000006E-2</v>
      </c>
      <c r="K71" s="9">
        <f t="shared" si="20"/>
        <v>14.885978548164157</v>
      </c>
    </row>
    <row r="72" spans="1:11" x14ac:dyDescent="0.35">
      <c r="A72" s="91">
        <f>GFA!T290</f>
        <v>287.63676726150004</v>
      </c>
      <c r="B72" s="7" t="s">
        <v>161</v>
      </c>
      <c r="C72" s="9"/>
      <c r="D72" s="9"/>
      <c r="E72" s="9">
        <f>'O&amp;M (Summary)'!Y56*1/12</f>
        <v>19.415420280392173</v>
      </c>
      <c r="F72" s="9">
        <f t="shared" si="21"/>
        <v>2.8763676726150003</v>
      </c>
      <c r="G72" s="9">
        <f>ARR!AG56*45/365</f>
        <v>102.95383561643834</v>
      </c>
      <c r="H72" s="9"/>
      <c r="I72" s="9">
        <f t="shared" si="19"/>
        <v>125.24562356944551</v>
      </c>
      <c r="J72" s="10">
        <v>8.5000000000000006E-2</v>
      </c>
      <c r="K72" s="9">
        <f t="shared" si="20"/>
        <v>10.645878003402869</v>
      </c>
    </row>
    <row r="73" spans="1:11" x14ac:dyDescent="0.35">
      <c r="B73" s="12" t="s">
        <v>27</v>
      </c>
      <c r="C73" s="13">
        <f>SUM(C59:C72)</f>
        <v>2164.8325770887259</v>
      </c>
      <c r="D73" s="13">
        <f t="shared" ref="D73:I73" si="22">SUM(D59:D72)</f>
        <v>0</v>
      </c>
      <c r="E73" s="13">
        <f t="shared" si="22"/>
        <v>297.66220868029382</v>
      </c>
      <c r="F73" s="13">
        <f t="shared" si="22"/>
        <v>483.4927346102217</v>
      </c>
      <c r="G73" s="13">
        <f t="shared" si="22"/>
        <v>2604.863589041096</v>
      </c>
      <c r="H73" s="13">
        <f t="shared" si="22"/>
        <v>0</v>
      </c>
      <c r="I73" s="13">
        <f t="shared" si="22"/>
        <v>5550.8511094203377</v>
      </c>
      <c r="J73" s="7"/>
      <c r="K73" s="13">
        <f t="shared" ref="K73" si="23">SUM(K59:K72)</f>
        <v>471.82234430072867</v>
      </c>
    </row>
    <row r="75" spans="1:11" x14ac:dyDescent="0.35">
      <c r="B75" s="3" t="s">
        <v>34</v>
      </c>
    </row>
    <row r="76" spans="1:11" ht="45" x14ac:dyDescent="0.35">
      <c r="B76" s="6" t="s">
        <v>170</v>
      </c>
      <c r="C76" s="96" t="s">
        <v>287</v>
      </c>
      <c r="D76" s="96" t="s">
        <v>288</v>
      </c>
      <c r="E76" s="96" t="s">
        <v>343</v>
      </c>
      <c r="F76" s="6" t="s">
        <v>344</v>
      </c>
      <c r="G76" s="6" t="s">
        <v>345</v>
      </c>
      <c r="H76" s="96" t="s">
        <v>346</v>
      </c>
      <c r="I76" s="96" t="s">
        <v>347</v>
      </c>
      <c r="J76" s="96" t="s">
        <v>67</v>
      </c>
      <c r="K76" s="6" t="s">
        <v>26</v>
      </c>
    </row>
    <row r="77" spans="1:11" x14ac:dyDescent="0.35">
      <c r="A77" s="91">
        <f>GFA!AB24</f>
        <v>465.85198681252064</v>
      </c>
      <c r="B77" s="7" t="s">
        <v>43</v>
      </c>
      <c r="C77" s="9">
        <f>EC!AT59*60/365</f>
        <v>75.666190842965889</v>
      </c>
      <c r="D77" s="9">
        <f>EC!AU59*2/12</f>
        <v>1.5333093460464013</v>
      </c>
      <c r="E77" s="9">
        <f>'O&amp;M (Summary)'!Q62*1/12</f>
        <v>9.9413262718798467</v>
      </c>
      <c r="F77" s="9">
        <f>1%*A77</f>
        <v>4.6585198681252065</v>
      </c>
      <c r="G77" s="9">
        <f ca="1">ARR!AF62*45/365</f>
        <v>76.881426794619728</v>
      </c>
      <c r="H77" s="9">
        <f t="shared" ref="H77:H90" si="24">D77*25/60</f>
        <v>0.63887889418600052</v>
      </c>
      <c r="I77" s="9">
        <f t="shared" ref="I77:I90" ca="1" si="25">SUM(C77:G77)-H77</f>
        <v>168.04189422945109</v>
      </c>
      <c r="J77" s="10">
        <v>9.4500000000000001E-2</v>
      </c>
      <c r="K77" s="9">
        <f t="shared" ref="K77:K90" ca="1" si="26">I77*J77</f>
        <v>15.879959004683128</v>
      </c>
    </row>
    <row r="78" spans="1:11" x14ac:dyDescent="0.35">
      <c r="A78" s="91">
        <f>GFA!AB43</f>
        <v>4211.7595612961686</v>
      </c>
      <c r="B78" s="7" t="s">
        <v>150</v>
      </c>
      <c r="C78" s="9">
        <f>EC!AT60*60/365</f>
        <v>704.32084584088648</v>
      </c>
      <c r="D78" s="9">
        <f>EC!AU60*2/12</f>
        <v>11.510984790377139</v>
      </c>
      <c r="E78" s="9">
        <f>'O&amp;M (Summary)'!Q63*1/12</f>
        <v>57.04172504405841</v>
      </c>
      <c r="F78" s="9">
        <f t="shared" ref="F78:F90" si="27">1%*A78</f>
        <v>42.117595612961686</v>
      </c>
      <c r="G78" s="9">
        <f ca="1">ARR!AF63*45/365</f>
        <v>669.31301080578817</v>
      </c>
      <c r="H78" s="9">
        <f t="shared" si="24"/>
        <v>4.7962436626571412</v>
      </c>
      <c r="I78" s="9">
        <f t="shared" ca="1" si="25"/>
        <v>1479.5079184314147</v>
      </c>
      <c r="J78" s="10">
        <v>9.4500000000000001E-2</v>
      </c>
      <c r="K78" s="9">
        <f t="shared" ca="1" si="26"/>
        <v>139.8134982917687</v>
      </c>
    </row>
    <row r="79" spans="1:11" x14ac:dyDescent="0.35">
      <c r="A79" s="91">
        <f>GFA!AB62</f>
        <v>2617.1539548569995</v>
      </c>
      <c r="B79" s="7" t="s">
        <v>151</v>
      </c>
      <c r="C79" s="9">
        <f>EC!AT61*60/365</f>
        <v>294.95861557101381</v>
      </c>
      <c r="D79" s="9">
        <f>EC!AU61*2/12</f>
        <v>6.7417239643697355</v>
      </c>
      <c r="E79" s="9">
        <f>'O&amp;M (Summary)'!Q64*1/12</f>
        <v>31.994884402971749</v>
      </c>
      <c r="F79" s="9">
        <f t="shared" si="27"/>
        <v>26.171539548569996</v>
      </c>
      <c r="G79" s="9">
        <f ca="1">ARR!AF64*45/365</f>
        <v>298.6241878605436</v>
      </c>
      <c r="H79" s="9">
        <f t="shared" si="24"/>
        <v>2.8090516518207234</v>
      </c>
      <c r="I79" s="9">
        <f t="shared" ca="1" si="25"/>
        <v>655.6818996956481</v>
      </c>
      <c r="J79" s="10">
        <v>9.4500000000000001E-2</v>
      </c>
      <c r="K79" s="9">
        <f t="shared" ca="1" si="26"/>
        <v>61.961939521238747</v>
      </c>
    </row>
    <row r="80" spans="1:11" x14ac:dyDescent="0.35">
      <c r="A80" s="91">
        <f>GFA!AB81</f>
        <v>1280.336355248314</v>
      </c>
      <c r="B80" s="7" t="s">
        <v>44</v>
      </c>
      <c r="C80" s="9">
        <f>EC!AT62*60/365</f>
        <v>61.981005447610251</v>
      </c>
      <c r="D80" s="9">
        <f>EC!AU62*2/12</f>
        <v>3.4000685981168441</v>
      </c>
      <c r="E80" s="9">
        <f>'O&amp;M (Summary)'!Q65*1/12</f>
        <v>20.035296437914422</v>
      </c>
      <c r="F80" s="9">
        <f t="shared" si="27"/>
        <v>12.803363552483141</v>
      </c>
      <c r="G80" s="9">
        <f ca="1">ARR!AF65*45/365</f>
        <v>89.322960622402007</v>
      </c>
      <c r="H80" s="9">
        <f t="shared" si="24"/>
        <v>1.4166952492153517</v>
      </c>
      <c r="I80" s="9">
        <f t="shared" ca="1" si="25"/>
        <v>186.12599940931131</v>
      </c>
      <c r="J80" s="10">
        <v>9.4500000000000001E-2</v>
      </c>
      <c r="K80" s="9">
        <f t="shared" ca="1" si="26"/>
        <v>17.588906944179918</v>
      </c>
    </row>
    <row r="81" spans="1:11" x14ac:dyDescent="0.35">
      <c r="A81" s="91">
        <f>GFA!AB100</f>
        <v>801.54195377299993</v>
      </c>
      <c r="B81" s="7" t="s">
        <v>152</v>
      </c>
      <c r="C81" s="9">
        <f>EC!AT63*60/365</f>
        <v>263.57076661755804</v>
      </c>
      <c r="D81" s="9">
        <f>EC!AU63*2/12</f>
        <v>3.7361482826577102</v>
      </c>
      <c r="E81" s="9">
        <f>'O&amp;M (Summary)'!Q66*1/12</f>
        <v>27.813329322060635</v>
      </c>
      <c r="F81" s="9">
        <f t="shared" si="27"/>
        <v>8.0154195377299988</v>
      </c>
      <c r="G81" s="9">
        <f ca="1">ARR!AF66*45/365</f>
        <v>254.49743557733856</v>
      </c>
      <c r="H81" s="9">
        <f t="shared" si="24"/>
        <v>1.5567284511073791</v>
      </c>
      <c r="I81" s="9">
        <f t="shared" ca="1" si="25"/>
        <v>556.07637088623756</v>
      </c>
      <c r="J81" s="10">
        <v>9.4500000000000001E-2</v>
      </c>
      <c r="K81" s="9">
        <f t="shared" ca="1" si="26"/>
        <v>52.549217048749448</v>
      </c>
    </row>
    <row r="82" spans="1:11" x14ac:dyDescent="0.35">
      <c r="A82" s="91">
        <f>GFA!AB138</f>
        <v>1705.6498561699998</v>
      </c>
      <c r="B82" s="7" t="s">
        <v>154</v>
      </c>
      <c r="C82" s="9">
        <f>EC!AT64*60/365</f>
        <v>145.32662230195297</v>
      </c>
      <c r="D82" s="9">
        <f>EC!AU64*2/12</f>
        <v>0</v>
      </c>
      <c r="E82" s="9">
        <f>'O&amp;M (Summary)'!Q67*1/12</f>
        <v>8.2659834499438496</v>
      </c>
      <c r="F82" s="9">
        <f t="shared" si="27"/>
        <v>17.0564985617</v>
      </c>
      <c r="G82" s="9">
        <f ca="1">ARR!AF67*45/365</f>
        <v>133.12378266630873</v>
      </c>
      <c r="H82" s="9">
        <f t="shared" si="24"/>
        <v>0</v>
      </c>
      <c r="I82" s="9">
        <f t="shared" ca="1" si="25"/>
        <v>303.77288697990559</v>
      </c>
      <c r="J82" s="10">
        <v>9.4500000000000001E-2</v>
      </c>
      <c r="K82" s="9">
        <f t="shared" ca="1" si="26"/>
        <v>28.706537819601078</v>
      </c>
    </row>
    <row r="83" spans="1:11" x14ac:dyDescent="0.35">
      <c r="A83" s="91">
        <f>GFA!AB157</f>
        <v>3253.7072415047824</v>
      </c>
      <c r="B83" s="7" t="s">
        <v>155</v>
      </c>
      <c r="C83" s="9">
        <f>EC!AT65*60/365</f>
        <v>155.44811530257346</v>
      </c>
      <c r="D83" s="9">
        <f>EC!AU65*2/12</f>
        <v>1.7537129330579333</v>
      </c>
      <c r="E83" s="9">
        <f>'O&amp;M (Summary)'!Q68*1/12</f>
        <v>15.132820113739946</v>
      </c>
      <c r="F83" s="9">
        <f t="shared" si="27"/>
        <v>32.537072415047824</v>
      </c>
      <c r="G83" s="9">
        <f ca="1">ARR!AF68*45/365</f>
        <v>174.66578481694935</v>
      </c>
      <c r="H83" s="9">
        <f t="shared" si="24"/>
        <v>0.73071372210747221</v>
      </c>
      <c r="I83" s="9">
        <f t="shared" ca="1" si="25"/>
        <v>378.80679185926101</v>
      </c>
      <c r="J83" s="10">
        <v>9.4500000000000001E-2</v>
      </c>
      <c r="K83" s="9">
        <f t="shared" ca="1" si="26"/>
        <v>35.797241830700166</v>
      </c>
    </row>
    <row r="84" spans="1:11" x14ac:dyDescent="0.35">
      <c r="A84" s="91">
        <f>GFA!AB176</f>
        <v>3066.5850900632008</v>
      </c>
      <c r="B84" s="7" t="s">
        <v>156</v>
      </c>
      <c r="C84" s="9">
        <f>EC!AT66*60/365</f>
        <v>229.42242670512721</v>
      </c>
      <c r="D84" s="9">
        <f>EC!AU66*2/12</f>
        <v>1.6295912747495012</v>
      </c>
      <c r="E84" s="9">
        <f>'O&amp;M (Summary)'!Q69*1/12</f>
        <v>15.392374833306627</v>
      </c>
      <c r="F84" s="9">
        <f t="shared" si="27"/>
        <v>30.665850900632009</v>
      </c>
      <c r="G84" s="9">
        <f ca="1">ARR!AF69*45/365</f>
        <v>229.44299855415503</v>
      </c>
      <c r="H84" s="9">
        <f t="shared" si="24"/>
        <v>0.67899636447895884</v>
      </c>
      <c r="I84" s="9">
        <f t="shared" ca="1" si="25"/>
        <v>505.87424590349144</v>
      </c>
      <c r="J84" s="10">
        <v>9.4500000000000001E-2</v>
      </c>
      <c r="K84" s="9">
        <f t="shared" ca="1" si="26"/>
        <v>47.805116237879943</v>
      </c>
    </row>
    <row r="85" spans="1:11" x14ac:dyDescent="0.35">
      <c r="A85" s="91">
        <f>GFA!AB195</f>
        <v>3627.9307348878137</v>
      </c>
      <c r="B85" s="7" t="s">
        <v>8</v>
      </c>
      <c r="C85" s="9">
        <f>EC!AT67*60/365</f>
        <v>209.45852731937552</v>
      </c>
      <c r="D85" s="9">
        <f>EC!AU67*2/12</f>
        <v>1.4682370827786257</v>
      </c>
      <c r="E85" s="9">
        <f>'O&amp;M (Summary)'!Q70*1/12</f>
        <v>12.566165324485921</v>
      </c>
      <c r="F85" s="9">
        <f t="shared" si="27"/>
        <v>36.279307348878142</v>
      </c>
      <c r="G85" s="9">
        <f ca="1">ARR!AF70*45/365</f>
        <v>223.73743650601637</v>
      </c>
      <c r="H85" s="9">
        <f t="shared" si="24"/>
        <v>0.61176545115776071</v>
      </c>
      <c r="I85" s="9">
        <f t="shared" ca="1" si="25"/>
        <v>482.89790813037683</v>
      </c>
      <c r="J85" s="10">
        <v>9.4500000000000001E-2</v>
      </c>
      <c r="K85" s="9">
        <f t="shared" ca="1" si="26"/>
        <v>45.633852318320614</v>
      </c>
    </row>
    <row r="86" spans="1:11" x14ac:dyDescent="0.35">
      <c r="A86" s="91">
        <f>GFA!AB214</f>
        <v>6715.8682596858762</v>
      </c>
      <c r="B86" s="7" t="s">
        <v>157</v>
      </c>
      <c r="C86" s="9">
        <f>EC!AT68*60/365</f>
        <v>373.90679348908981</v>
      </c>
      <c r="D86" s="9">
        <f>EC!AU68*2/12</f>
        <v>2.8123724056868578</v>
      </c>
      <c r="E86" s="9">
        <f>'O&amp;M (Summary)'!Q71*1/12</f>
        <v>20.77467461046529</v>
      </c>
      <c r="F86" s="9">
        <f t="shared" si="27"/>
        <v>67.158682596858768</v>
      </c>
      <c r="G86" s="9">
        <f ca="1">ARR!AF71*45/365</f>
        <v>410.63742125930594</v>
      </c>
      <c r="H86" s="9">
        <f t="shared" si="24"/>
        <v>1.1718218357028574</v>
      </c>
      <c r="I86" s="9">
        <f t="shared" ca="1" si="25"/>
        <v>874.11812252570382</v>
      </c>
      <c r="J86" s="10">
        <v>9.4500000000000001E-2</v>
      </c>
      <c r="K86" s="9">
        <f t="shared" ca="1" si="26"/>
        <v>82.604162578679009</v>
      </c>
    </row>
    <row r="87" spans="1:11" x14ac:dyDescent="0.35">
      <c r="A87" s="91">
        <f>GFA!AB233</f>
        <v>13082.668661658334</v>
      </c>
      <c r="B87" s="7" t="s">
        <v>158</v>
      </c>
      <c r="C87" s="9">
        <f>EC!AT69*60/365</f>
        <v>586.01962287318975</v>
      </c>
      <c r="D87" s="9">
        <f>EC!AU69*2/12</f>
        <v>6.328912966322167</v>
      </c>
      <c r="E87" s="9">
        <f>'O&amp;M (Summary)'!Q72*1/12</f>
        <v>37.639045044427277</v>
      </c>
      <c r="F87" s="9">
        <f t="shared" si="27"/>
        <v>130.82668661658334</v>
      </c>
      <c r="G87" s="9">
        <f ca="1">ARR!AF72*45/365</f>
        <v>718.45157196674052</v>
      </c>
      <c r="H87" s="9">
        <f t="shared" si="24"/>
        <v>2.6370470693009032</v>
      </c>
      <c r="I87" s="9">
        <f t="shared" ca="1" si="25"/>
        <v>1476.6287923979621</v>
      </c>
      <c r="J87" s="10">
        <v>9.4500000000000001E-2</v>
      </c>
      <c r="K87" s="9">
        <f t="shared" ca="1" si="26"/>
        <v>139.54142088160742</v>
      </c>
    </row>
    <row r="88" spans="1:11" x14ac:dyDescent="0.35">
      <c r="A88" s="91">
        <f>GFA!AB252</f>
        <v>6324.4439491179883</v>
      </c>
      <c r="B88" s="7" t="s">
        <v>159</v>
      </c>
      <c r="C88" s="9">
        <f>EC!AT70*60/365</f>
        <v>394.52322388719904</v>
      </c>
      <c r="D88" s="9">
        <f>EC!AU70*2/12</f>
        <v>3.2659623735259036</v>
      </c>
      <c r="E88" s="9">
        <f>'O&amp;M (Summary)'!Q73*1/12</f>
        <v>22.55086714241428</v>
      </c>
      <c r="F88" s="9">
        <f t="shared" si="27"/>
        <v>63.244439491179882</v>
      </c>
      <c r="G88" s="9">
        <f ca="1">ARR!AF73*45/365</f>
        <v>444.72420816062134</v>
      </c>
      <c r="H88" s="9">
        <f t="shared" si="24"/>
        <v>1.3608176556357932</v>
      </c>
      <c r="I88" s="9">
        <f t="shared" ca="1" si="25"/>
        <v>926.94788339930471</v>
      </c>
      <c r="J88" s="10">
        <v>9.4500000000000001E-2</v>
      </c>
      <c r="K88" s="9">
        <f t="shared" ca="1" si="26"/>
        <v>87.596574981234298</v>
      </c>
    </row>
    <row r="89" spans="1:11" x14ac:dyDescent="0.35">
      <c r="A89" s="91">
        <f>GFA!AB271</f>
        <v>1867.8614291120282</v>
      </c>
      <c r="B89" s="7" t="s">
        <v>160</v>
      </c>
      <c r="C89" s="9">
        <f>EC!AT71*60/365</f>
        <v>95.522336459175065</v>
      </c>
      <c r="D89" s="9">
        <f>EC!AU71*2/12</f>
        <v>0.66273555345883983</v>
      </c>
      <c r="E89" s="9">
        <f>'O&amp;M (Summary)'!Q74*1/12</f>
        <v>7.8705740314189399</v>
      </c>
      <c r="F89" s="9">
        <f t="shared" si="27"/>
        <v>18.678614291120283</v>
      </c>
      <c r="G89" s="9">
        <f ca="1">ARR!AF74*45/365</f>
        <v>118.38960778330149</v>
      </c>
      <c r="H89" s="9">
        <f t="shared" si="24"/>
        <v>0.27613981394118325</v>
      </c>
      <c r="I89" s="9">
        <f t="shared" ca="1" si="25"/>
        <v>240.84772830453343</v>
      </c>
      <c r="J89" s="10">
        <v>9.4500000000000001E-2</v>
      </c>
      <c r="K89" s="9">
        <f t="shared" ca="1" si="26"/>
        <v>22.76011032477841</v>
      </c>
    </row>
    <row r="90" spans="1:11" x14ac:dyDescent="0.35">
      <c r="A90" s="91">
        <f>GFA!AB290</f>
        <v>296.01751986150003</v>
      </c>
      <c r="B90" s="7" t="s">
        <v>161</v>
      </c>
      <c r="C90" s="9"/>
      <c r="D90" s="9"/>
      <c r="E90" s="9">
        <f>'O&amp;M (Summary)'!Q75*1/12</f>
        <v>20.178884940186293</v>
      </c>
      <c r="F90" s="9">
        <f t="shared" si="27"/>
        <v>2.9601751986150004</v>
      </c>
      <c r="G90" s="9">
        <f ca="1">ARR!AF75*45/365</f>
        <v>99.998115669520232</v>
      </c>
      <c r="H90" s="9">
        <f t="shared" si="24"/>
        <v>0</v>
      </c>
      <c r="I90" s="9">
        <f t="shared" ca="1" si="25"/>
        <v>123.13717580832153</v>
      </c>
      <c r="J90" s="10">
        <v>9.4500000000000001E-2</v>
      </c>
      <c r="K90" s="9">
        <f t="shared" ca="1" si="26"/>
        <v>11.636463113886384</v>
      </c>
    </row>
    <row r="91" spans="1:11" x14ac:dyDescent="0.35">
      <c r="B91" s="12" t="s">
        <v>27</v>
      </c>
      <c r="C91" s="13">
        <f>SUM(C77:C90)</f>
        <v>3590.1250926577177</v>
      </c>
      <c r="D91" s="13">
        <f t="shared" ref="D91:I91" si="28">SUM(D77:D90)</f>
        <v>44.843759571147643</v>
      </c>
      <c r="E91" s="13">
        <f t="shared" si="28"/>
        <v>307.19795096927351</v>
      </c>
      <c r="F91" s="13">
        <f t="shared" si="28"/>
        <v>493.17376554048536</v>
      </c>
      <c r="G91" s="13">
        <f t="shared" ca="1" si="28"/>
        <v>3941.8099490436116</v>
      </c>
      <c r="H91" s="13">
        <f t="shared" si="28"/>
        <v>18.684899821311522</v>
      </c>
      <c r="I91" s="13">
        <f t="shared" ca="1" si="28"/>
        <v>8358.4656179609246</v>
      </c>
      <c r="J91" s="7"/>
      <c r="K91" s="13">
        <f t="shared" ref="K91" ca="1" si="29">SUM(K77:K90)</f>
        <v>789.87500089730736</v>
      </c>
    </row>
    <row r="93" spans="1:11" x14ac:dyDescent="0.35">
      <c r="B93" s="3" t="s">
        <v>35</v>
      </c>
    </row>
    <row r="94" spans="1:11" ht="45" x14ac:dyDescent="0.35">
      <c r="B94" s="6" t="s">
        <v>170</v>
      </c>
      <c r="C94" s="96" t="s">
        <v>287</v>
      </c>
      <c r="D94" s="96" t="s">
        <v>288</v>
      </c>
      <c r="E94" s="96" t="s">
        <v>343</v>
      </c>
      <c r="F94" s="6" t="s">
        <v>344</v>
      </c>
      <c r="G94" s="6" t="s">
        <v>345</v>
      </c>
      <c r="H94" s="96" t="s">
        <v>346</v>
      </c>
      <c r="I94" s="96" t="s">
        <v>347</v>
      </c>
      <c r="J94" s="96" t="s">
        <v>67</v>
      </c>
      <c r="K94" s="6" t="s">
        <v>26</v>
      </c>
    </row>
    <row r="95" spans="1:11" x14ac:dyDescent="0.35">
      <c r="A95" s="91">
        <f>GFA!AJ24</f>
        <v>465.85198681252064</v>
      </c>
      <c r="B95" s="7" t="s">
        <v>43</v>
      </c>
      <c r="C95" s="9">
        <f>EC!AT77*60/366</f>
        <v>92.536651772658942</v>
      </c>
      <c r="D95" s="9">
        <f>EC!AU77*2/12</f>
        <v>2.1524427801266</v>
      </c>
      <c r="E95" s="9">
        <f>'O&amp;M (Summary)'!Q81*1/12</f>
        <v>10.283548230929147</v>
      </c>
      <c r="F95" s="9">
        <f>1%*A95</f>
        <v>4.6585198681252065</v>
      </c>
      <c r="G95" s="9">
        <f ca="1">ARR!AF81*45/366</f>
        <v>92.343922255834045</v>
      </c>
      <c r="H95" s="9">
        <f t="shared" ref="H95:H107" si="30">D95*25/60</f>
        <v>0.89685115838608331</v>
      </c>
      <c r="I95" s="9">
        <f t="shared" ref="I95:I108" ca="1" si="31">SUM(C95:G95)-H95</f>
        <v>201.07823374928785</v>
      </c>
      <c r="J95" s="10">
        <v>9.4500000000000001E-2</v>
      </c>
      <c r="K95" s="9">
        <f t="shared" ref="K95:K108" ca="1" si="32">I95*J95</f>
        <v>19.001893089307703</v>
      </c>
    </row>
    <row r="96" spans="1:11" x14ac:dyDescent="0.35">
      <c r="A96" s="91">
        <f>GFA!AJ43</f>
        <v>4410.928154419169</v>
      </c>
      <c r="B96" s="7" t="s">
        <v>150</v>
      </c>
      <c r="C96" s="9">
        <f>EC!AT78*60/366</f>
        <v>698.34872732849044</v>
      </c>
      <c r="D96" s="9">
        <f>EC!AU78*2/12</f>
        <v>12.448546874964272</v>
      </c>
      <c r="E96" s="9">
        <f>'O&amp;M (Summary)'!Q82*1/12</f>
        <v>59.099140845907677</v>
      </c>
      <c r="F96" s="9">
        <f t="shared" ref="F96:F108" si="33">1%*A96</f>
        <v>44.109281544191688</v>
      </c>
      <c r="G96" s="9">
        <f ca="1">ARR!AF82*45/366</f>
        <v>674.72082152740415</v>
      </c>
      <c r="H96" s="9">
        <f t="shared" si="30"/>
        <v>5.1868945312351133</v>
      </c>
      <c r="I96" s="9">
        <f t="shared" ca="1" si="31"/>
        <v>1483.5396235897231</v>
      </c>
      <c r="J96" s="10">
        <v>9.4500000000000001E-2</v>
      </c>
      <c r="K96" s="9">
        <f t="shared" ca="1" si="32"/>
        <v>140.19449442922883</v>
      </c>
    </row>
    <row r="97" spans="1:11" x14ac:dyDescent="0.35">
      <c r="A97" s="91">
        <f>GFA!AJ62</f>
        <v>2662.9239548569994</v>
      </c>
      <c r="B97" s="7" t="s">
        <v>151</v>
      </c>
      <c r="C97" s="9">
        <f>EC!AT79*60/366</f>
        <v>334.86652671870235</v>
      </c>
      <c r="D97" s="9">
        <f>EC!AU79*2/12</f>
        <v>7.3886552828072105</v>
      </c>
      <c r="E97" s="9">
        <f>'O&amp;M (Summary)'!Q83*1/12</f>
        <v>32.962595269603334</v>
      </c>
      <c r="F97" s="9">
        <f t="shared" si="33"/>
        <v>26.629239548569995</v>
      </c>
      <c r="G97" s="9">
        <f ca="1">ARR!AF83*45/366</f>
        <v>339.83332151214643</v>
      </c>
      <c r="H97" s="9">
        <f t="shared" si="30"/>
        <v>3.0786063678363376</v>
      </c>
      <c r="I97" s="9">
        <f t="shared" ca="1" si="31"/>
        <v>738.60173196399307</v>
      </c>
      <c r="J97" s="10">
        <v>9.4500000000000001E-2</v>
      </c>
      <c r="K97" s="9">
        <f t="shared" ca="1" si="32"/>
        <v>69.797863670597351</v>
      </c>
    </row>
    <row r="98" spans="1:11" x14ac:dyDescent="0.35">
      <c r="A98" s="91">
        <f>GFA!AJ81</f>
        <v>1328.605455248314</v>
      </c>
      <c r="B98" s="7" t="s">
        <v>44</v>
      </c>
      <c r="C98" s="9">
        <f>EC!AT80*60/366</f>
        <v>60.4648739234215</v>
      </c>
      <c r="D98" s="9">
        <f>EC!AU80*2/12</f>
        <v>4.0450114460791049</v>
      </c>
      <c r="E98" s="9">
        <f>'O&amp;M (Summary)'!Q84*1/12</f>
        <v>20.653144666501873</v>
      </c>
      <c r="F98" s="9">
        <f t="shared" si="33"/>
        <v>13.28605455248314</v>
      </c>
      <c r="G98" s="9">
        <f ca="1">ARR!AF84*45/366</f>
        <v>85.037212793959313</v>
      </c>
      <c r="H98" s="9">
        <f t="shared" si="30"/>
        <v>1.6854214358662936</v>
      </c>
      <c r="I98" s="9">
        <f t="shared" ca="1" si="31"/>
        <v>181.80087594657866</v>
      </c>
      <c r="J98" s="10">
        <v>9.4500000000000001E-2</v>
      </c>
      <c r="K98" s="9">
        <f t="shared" ca="1" si="32"/>
        <v>17.180182776951682</v>
      </c>
    </row>
    <row r="99" spans="1:11" x14ac:dyDescent="0.35">
      <c r="A99" s="91">
        <f>GFA!AJ100</f>
        <v>807.73195377299999</v>
      </c>
      <c r="B99" s="7" t="s">
        <v>152</v>
      </c>
      <c r="C99" s="9">
        <f>EC!AT81*60/366</f>
        <v>296.16858111559856</v>
      </c>
      <c r="D99" s="9">
        <f>EC!AU81*2/12</f>
        <v>4.9423319323943842</v>
      </c>
      <c r="E99" s="9">
        <f>'O&amp;M (Summary)'!Q85*1/12</f>
        <v>28.769880451703184</v>
      </c>
      <c r="F99" s="9">
        <f t="shared" si="33"/>
        <v>8.0773195377300002</v>
      </c>
      <c r="G99" s="9">
        <f ca="1">ARR!AF85*45/366</f>
        <v>283.74695957804659</v>
      </c>
      <c r="H99" s="9">
        <f t="shared" si="30"/>
        <v>2.0593049718309935</v>
      </c>
      <c r="I99" s="9">
        <f t="shared" ca="1" si="31"/>
        <v>619.64576764364165</v>
      </c>
      <c r="J99" s="10">
        <v>9.4500000000000001E-2</v>
      </c>
      <c r="K99" s="9">
        <f t="shared" ca="1" si="32"/>
        <v>58.556525042324139</v>
      </c>
    </row>
    <row r="100" spans="1:11" x14ac:dyDescent="0.35">
      <c r="A100" s="91">
        <f>GFA!AJ138</f>
        <v>1740.1998561699997</v>
      </c>
      <c r="B100" s="7" t="s">
        <v>154</v>
      </c>
      <c r="C100" s="9">
        <f>EC!AT82*60/366</f>
        <v>241.55203854255515</v>
      </c>
      <c r="D100" s="9">
        <f>EC!AU82*2/12</f>
        <v>0</v>
      </c>
      <c r="E100" s="9">
        <f>'O&amp;M (Summary)'!Q86*1/12</f>
        <v>8.5873164080920166</v>
      </c>
      <c r="F100" s="9">
        <f t="shared" si="33"/>
        <v>17.401998561699997</v>
      </c>
      <c r="G100" s="9">
        <f ca="1">ARR!AF86*45/366</f>
        <v>214.54476124217672</v>
      </c>
      <c r="H100" s="9">
        <f t="shared" si="30"/>
        <v>0</v>
      </c>
      <c r="I100" s="9">
        <f t="shared" ca="1" si="31"/>
        <v>482.08611475452392</v>
      </c>
      <c r="J100" s="10">
        <v>9.4500000000000001E-2</v>
      </c>
      <c r="K100" s="9">
        <f t="shared" ca="1" si="32"/>
        <v>45.55713784430251</v>
      </c>
    </row>
    <row r="101" spans="1:11" x14ac:dyDescent="0.35">
      <c r="A101" s="91">
        <f>GFA!AJ157</f>
        <v>3336.2698785847824</v>
      </c>
      <c r="B101" s="7" t="s">
        <v>155</v>
      </c>
      <c r="C101" s="9">
        <f>EC!AT83*60/366</f>
        <v>188.30254234146389</v>
      </c>
      <c r="D101" s="9">
        <f>EC!AU83*2/12</f>
        <v>2.1184595361409833</v>
      </c>
      <c r="E101" s="9">
        <f>'O&amp;M (Summary)'!Q87*1/12</f>
        <v>15.616373320495663</v>
      </c>
      <c r="F101" s="9">
        <f t="shared" si="33"/>
        <v>33.362698785847826</v>
      </c>
      <c r="G101" s="9">
        <f ca="1">ARR!AF87*45/366</f>
        <v>199.86842089185808</v>
      </c>
      <c r="H101" s="9">
        <f t="shared" si="30"/>
        <v>0.88269147339207643</v>
      </c>
      <c r="I101" s="9">
        <f t="shared" ca="1" si="31"/>
        <v>438.38580340241435</v>
      </c>
      <c r="J101" s="10">
        <v>9.4500000000000001E-2</v>
      </c>
      <c r="K101" s="9">
        <f t="shared" ca="1" si="32"/>
        <v>41.427458421528158</v>
      </c>
    </row>
    <row r="102" spans="1:11" x14ac:dyDescent="0.35">
      <c r="A102" s="91">
        <f>GFA!AJ176</f>
        <v>3104.155090063201</v>
      </c>
      <c r="B102" s="7" t="s">
        <v>156</v>
      </c>
      <c r="C102" s="9">
        <f>EC!AT84*60/366</f>
        <v>281.19635931191794</v>
      </c>
      <c r="D102" s="9">
        <f>EC!AU84*2/12</f>
        <v>1.9504319710991354</v>
      </c>
      <c r="E102" s="9">
        <f>'O&amp;M (Summary)'!Q88*1/12</f>
        <v>15.883292485011104</v>
      </c>
      <c r="F102" s="9">
        <f t="shared" si="33"/>
        <v>31.041550900632011</v>
      </c>
      <c r="G102" s="9">
        <f ca="1">ARR!AF88*45/366</f>
        <v>269.21947880090102</v>
      </c>
      <c r="H102" s="9">
        <f t="shared" si="30"/>
        <v>0.81267998795797303</v>
      </c>
      <c r="I102" s="9">
        <f t="shared" ca="1" si="31"/>
        <v>598.47843348160325</v>
      </c>
      <c r="J102" s="10">
        <v>9.4500000000000001E-2</v>
      </c>
      <c r="K102" s="9">
        <f t="shared" ca="1" si="32"/>
        <v>56.55621196401151</v>
      </c>
    </row>
    <row r="103" spans="1:11" x14ac:dyDescent="0.35">
      <c r="A103" s="91">
        <f>GFA!AJ195</f>
        <v>3650.0307348878137</v>
      </c>
      <c r="B103" s="7" t="s">
        <v>8</v>
      </c>
      <c r="C103" s="9">
        <f>EC!AT85*60/366</f>
        <v>228.78223169810911</v>
      </c>
      <c r="D103" s="9">
        <f>EC!AU85*2/12</f>
        <v>1.7422482332053673</v>
      </c>
      <c r="E103" s="9">
        <f>'O&amp;M (Summary)'!Q89*1/12</f>
        <v>12.88667800173252</v>
      </c>
      <c r="F103" s="9">
        <f t="shared" si="33"/>
        <v>36.500307348878138</v>
      </c>
      <c r="G103" s="9">
        <f ca="1">ARR!AF89*45/366</f>
        <v>241.14921010790076</v>
      </c>
      <c r="H103" s="9">
        <f t="shared" si="30"/>
        <v>0.72593676383556971</v>
      </c>
      <c r="I103" s="9">
        <f t="shared" ca="1" si="31"/>
        <v>520.33473862599033</v>
      </c>
      <c r="J103" s="10">
        <v>9.4500000000000001E-2</v>
      </c>
      <c r="K103" s="9">
        <f t="shared" ca="1" si="32"/>
        <v>49.17163280015609</v>
      </c>
    </row>
    <row r="104" spans="1:11" x14ac:dyDescent="0.35">
      <c r="A104" s="91">
        <f>GFA!AJ214</f>
        <v>6734.738259685877</v>
      </c>
      <c r="B104" s="7" t="s">
        <v>157</v>
      </c>
      <c r="C104" s="9">
        <f>EC!AT86*60/366</f>
        <v>422.856238201846</v>
      </c>
      <c r="D104" s="9">
        <f>EC!AU86*2/12</f>
        <v>4.0266022597635693</v>
      </c>
      <c r="E104" s="9">
        <f>'O&amp;M (Summary)'!Q90*1/12</f>
        <v>21.426193959984619</v>
      </c>
      <c r="F104" s="9">
        <f t="shared" si="33"/>
        <v>67.347382596858765</v>
      </c>
      <c r="G104" s="9">
        <f ca="1">ARR!AF90*45/366</f>
        <v>447.12038691855145</v>
      </c>
      <c r="H104" s="9">
        <f t="shared" si="30"/>
        <v>1.6777509415681537</v>
      </c>
      <c r="I104" s="9">
        <f t="shared" ca="1" si="31"/>
        <v>961.09905299543618</v>
      </c>
      <c r="J104" s="10">
        <v>9.4500000000000001E-2</v>
      </c>
      <c r="K104" s="9">
        <f t="shared" ca="1" si="32"/>
        <v>90.823860508068719</v>
      </c>
    </row>
    <row r="105" spans="1:11" x14ac:dyDescent="0.35">
      <c r="A105" s="91">
        <f>GFA!AJ233</f>
        <v>13389.588661658334</v>
      </c>
      <c r="B105" s="7" t="s">
        <v>158</v>
      </c>
      <c r="C105" s="9">
        <f>EC!AT87*60/366</f>
        <v>585.7692908222316</v>
      </c>
      <c r="D105" s="9">
        <f>EC!AU87*2/12</f>
        <v>6.755386259719355</v>
      </c>
      <c r="E105" s="9">
        <f>'O&amp;M (Summary)'!Q91*1/12</f>
        <v>38.666772038336603</v>
      </c>
      <c r="F105" s="9">
        <f t="shared" si="33"/>
        <v>133.89588661658334</v>
      </c>
      <c r="G105" s="9">
        <f ca="1">ARR!AF91*45/366</f>
        <v>726.16512758818351</v>
      </c>
      <c r="H105" s="9">
        <f t="shared" si="30"/>
        <v>2.8147442748830644</v>
      </c>
      <c r="I105" s="9">
        <f t="shared" ca="1" si="31"/>
        <v>1488.4377190501714</v>
      </c>
      <c r="J105" s="10">
        <v>9.4500000000000001E-2</v>
      </c>
      <c r="K105" s="9">
        <f t="shared" ca="1" si="32"/>
        <v>140.6573644502412</v>
      </c>
    </row>
    <row r="106" spans="1:11" x14ac:dyDescent="0.35">
      <c r="A106" s="91">
        <f>GFA!AJ252</f>
        <v>6482.8639491179883</v>
      </c>
      <c r="B106" s="7" t="s">
        <v>159</v>
      </c>
      <c r="C106" s="9">
        <f>EC!AT88*60/366</f>
        <v>392.25698758587572</v>
      </c>
      <c r="D106" s="9">
        <f>EC!AU88*2/12</f>
        <v>4.0455730410711883</v>
      </c>
      <c r="E106" s="9">
        <f>'O&amp;M (Summary)'!Q92*1/12</f>
        <v>23.190449709897802</v>
      </c>
      <c r="F106" s="9">
        <f t="shared" si="33"/>
        <v>64.828639491179885</v>
      </c>
      <c r="G106" s="9">
        <f ca="1">ARR!AF92*45/366</f>
        <v>446.27207528929847</v>
      </c>
      <c r="H106" s="9">
        <f t="shared" si="30"/>
        <v>1.6856554337796619</v>
      </c>
      <c r="I106" s="9">
        <f t="shared" ca="1" si="31"/>
        <v>928.90806968354343</v>
      </c>
      <c r="J106" s="10">
        <v>9.4500000000000001E-2</v>
      </c>
      <c r="K106" s="9">
        <f t="shared" ca="1" si="32"/>
        <v>87.781812585094855</v>
      </c>
    </row>
    <row r="107" spans="1:11" x14ac:dyDescent="0.35">
      <c r="A107" s="91">
        <f>GFA!AJ271</f>
        <v>1971.5166842120282</v>
      </c>
      <c r="B107" s="7" t="s">
        <v>160</v>
      </c>
      <c r="C107" s="9">
        <f>EC!AT89*60/366</f>
        <v>139.48479159558005</v>
      </c>
      <c r="D107" s="9">
        <f>EC!AU89*2/12</f>
        <v>0.98127065724818296</v>
      </c>
      <c r="E107" s="9">
        <f>'O&amp;M (Summary)'!Q93*1/12</f>
        <v>8.1128911696486128</v>
      </c>
      <c r="F107" s="9">
        <f t="shared" si="33"/>
        <v>19.715166842120283</v>
      </c>
      <c r="G107" s="9">
        <f ca="1">ARR!AF93*45/366</f>
        <v>152.55414194699523</v>
      </c>
      <c r="H107" s="9">
        <f t="shared" si="30"/>
        <v>0.40886277385340958</v>
      </c>
      <c r="I107" s="9">
        <f t="shared" ca="1" si="31"/>
        <v>320.43939943773893</v>
      </c>
      <c r="J107" s="10">
        <v>9.4500000000000001E-2</v>
      </c>
      <c r="K107" s="9">
        <f t="shared" ca="1" si="32"/>
        <v>30.281523246866328</v>
      </c>
    </row>
    <row r="108" spans="1:11" x14ac:dyDescent="0.35">
      <c r="A108" s="91">
        <f>GFA!AJ290</f>
        <v>350.67068986150002</v>
      </c>
      <c r="B108" s="7" t="s">
        <v>161</v>
      </c>
      <c r="C108" s="9"/>
      <c r="D108" s="9"/>
      <c r="E108" s="9">
        <f>'O&amp;M (Summary)'!Q94*1/12</f>
        <v>20.972410750646151</v>
      </c>
      <c r="F108" s="9">
        <f t="shared" si="33"/>
        <v>3.5067068986150005</v>
      </c>
      <c r="G108" s="9">
        <f ca="1">ARR!AF94*45/366</f>
        <v>101.13505111869253</v>
      </c>
      <c r="H108" s="9"/>
      <c r="I108" s="9">
        <f t="shared" ca="1" si="31"/>
        <v>125.61416876795369</v>
      </c>
      <c r="J108" s="10">
        <v>9.4500000000000001E-2</v>
      </c>
      <c r="K108" s="9">
        <f t="shared" ca="1" si="32"/>
        <v>11.870538948571623</v>
      </c>
    </row>
    <row r="109" spans="1:11" x14ac:dyDescent="0.35">
      <c r="B109" s="12" t="s">
        <v>27</v>
      </c>
      <c r="C109" s="13">
        <f>SUM(C95:C108)</f>
        <v>3962.5858409584516</v>
      </c>
      <c r="D109" s="13">
        <f t="shared" ref="D109:I109" si="34">SUM(D95:D108)</f>
        <v>52.596960274619349</v>
      </c>
      <c r="E109" s="13">
        <f t="shared" si="34"/>
        <v>317.1106873084903</v>
      </c>
      <c r="F109" s="13">
        <f t="shared" si="34"/>
        <v>504.36075309351531</v>
      </c>
      <c r="G109" s="13">
        <f t="shared" ca="1" si="34"/>
        <v>4273.7108915719482</v>
      </c>
      <c r="H109" s="13">
        <f t="shared" si="34"/>
        <v>21.915400114424731</v>
      </c>
      <c r="I109" s="13">
        <f t="shared" ca="1" si="34"/>
        <v>9088.4497330925988</v>
      </c>
      <c r="J109" s="7"/>
      <c r="K109" s="13">
        <f t="shared" ref="K109" ca="1" si="35">SUM(K95:K108)</f>
        <v>858.85849977725059</v>
      </c>
    </row>
    <row r="111" spans="1:11" x14ac:dyDescent="0.35">
      <c r="B111" s="3" t="s">
        <v>127</v>
      </c>
    </row>
    <row r="112" spans="1:11" ht="45" x14ac:dyDescent="0.35">
      <c r="B112" s="6" t="s">
        <v>170</v>
      </c>
      <c r="C112" s="96" t="s">
        <v>287</v>
      </c>
      <c r="D112" s="96" t="s">
        <v>288</v>
      </c>
      <c r="E112" s="96" t="s">
        <v>343</v>
      </c>
      <c r="F112" s="6" t="s">
        <v>344</v>
      </c>
      <c r="G112" s="6" t="s">
        <v>345</v>
      </c>
      <c r="H112" s="96" t="s">
        <v>346</v>
      </c>
      <c r="I112" s="96" t="s">
        <v>347</v>
      </c>
      <c r="J112" s="96" t="s">
        <v>67</v>
      </c>
      <c r="K112" s="6" t="s">
        <v>26</v>
      </c>
    </row>
    <row r="113" spans="1:11" x14ac:dyDescent="0.35">
      <c r="A113" s="91">
        <f>GFA!AR24</f>
        <v>471.39198681252066</v>
      </c>
      <c r="B113" s="7" t="s">
        <v>43</v>
      </c>
      <c r="C113" s="9">
        <f>EC!AT95*60/365</f>
        <v>93.652562390930285</v>
      </c>
      <c r="D113" s="9">
        <f>EC!AU95*2/12</f>
        <v>2.1787602157579289</v>
      </c>
      <c r="E113" s="9">
        <f>'O&amp;M (Summary)'!Q100*1/12</f>
        <v>10.639245058448296</v>
      </c>
      <c r="F113" s="9">
        <f>1%*A113</f>
        <v>4.713919868125207</v>
      </c>
      <c r="G113" s="9">
        <f ca="1">ARR!AF100*45/365</f>
        <v>93.839145763996669</v>
      </c>
      <c r="H113" s="9">
        <f t="shared" ref="H113:H125" si="36">D113*25/60</f>
        <v>0.90781675656580374</v>
      </c>
      <c r="I113" s="9">
        <f t="shared" ref="I113:I126" ca="1" si="37">SUM(C113:G113)-H113</f>
        <v>204.11581654069258</v>
      </c>
      <c r="J113" s="10">
        <v>9.4500000000000001E-2</v>
      </c>
      <c r="K113" s="9">
        <f t="shared" ref="K113:K126" ca="1" si="38">I113*J113</f>
        <v>19.28894466309545</v>
      </c>
    </row>
    <row r="114" spans="1:11" x14ac:dyDescent="0.35">
      <c r="A114" s="91">
        <f>GFA!AR43</f>
        <v>4560.3796320191695</v>
      </c>
      <c r="B114" s="7" t="s">
        <v>150</v>
      </c>
      <c r="C114" s="9">
        <f>EC!AT96*60/365</f>
        <v>697.06230534526867</v>
      </c>
      <c r="D114" s="9">
        <f>EC!AU96*2/12</f>
        <v>12.60075246858576</v>
      </c>
      <c r="E114" s="9">
        <f>'O&amp;M (Summary)'!Q101*1/12</f>
        <v>61.237566666502438</v>
      </c>
      <c r="F114" s="9">
        <f t="shared" ref="F114:F126" si="39">1%*A114</f>
        <v>45.603796320191698</v>
      </c>
      <c r="G114" s="9">
        <f ca="1">ARR!AF101*45/365</f>
        <v>696.55022030192197</v>
      </c>
      <c r="H114" s="9">
        <f t="shared" si="36"/>
        <v>5.2503135285773999</v>
      </c>
      <c r="I114" s="9">
        <f t="shared" ca="1" si="37"/>
        <v>1507.804327573893</v>
      </c>
      <c r="J114" s="10">
        <v>9.4500000000000001E-2</v>
      </c>
      <c r="K114" s="9">
        <f t="shared" ca="1" si="38"/>
        <v>142.48750895573289</v>
      </c>
    </row>
    <row r="115" spans="1:11" x14ac:dyDescent="0.35">
      <c r="A115" s="91">
        <f>GFA!AR62</f>
        <v>3084.0539548569996</v>
      </c>
      <c r="B115" s="7" t="s">
        <v>151</v>
      </c>
      <c r="C115" s="9">
        <f>EC!AT97*60/365</f>
        <v>336.42928932990509</v>
      </c>
      <c r="D115" s="9">
        <f>EC!AU97*2/12</f>
        <v>7.4789947155683079</v>
      </c>
      <c r="E115" s="9">
        <f>'O&amp;M (Summary)'!Q102*1/12</f>
        <v>33.968409408979092</v>
      </c>
      <c r="F115" s="9">
        <f t="shared" si="39"/>
        <v>30.840539548569996</v>
      </c>
      <c r="G115" s="9">
        <f ca="1">ARR!AF102*45/365</f>
        <v>346.88289675290372</v>
      </c>
      <c r="H115" s="9">
        <f t="shared" si="36"/>
        <v>3.1162477981534615</v>
      </c>
      <c r="I115" s="9">
        <f t="shared" ca="1" si="37"/>
        <v>752.48388195777272</v>
      </c>
      <c r="J115" s="10">
        <v>9.4500000000000001E-2</v>
      </c>
      <c r="K115" s="9">
        <f t="shared" ca="1" si="38"/>
        <v>71.109726845009519</v>
      </c>
    </row>
    <row r="116" spans="1:11" x14ac:dyDescent="0.35">
      <c r="A116" s="91">
        <f>GFA!AR81</f>
        <v>1417.4154552483139</v>
      </c>
      <c r="B116" s="7" t="s">
        <v>44</v>
      </c>
      <c r="C116" s="9">
        <f>EC!AT98*60/365</f>
        <v>61.371847032272825</v>
      </c>
      <c r="D116" s="9">
        <f>EC!AU98*2/12</f>
        <v>4.0944688947709187</v>
      </c>
      <c r="E116" s="9">
        <f>'O&amp;M (Summary)'!Q103*1/12</f>
        <v>21.295320450333517</v>
      </c>
      <c r="F116" s="9">
        <f t="shared" si="39"/>
        <v>14.17415455248314</v>
      </c>
      <c r="G116" s="9">
        <f ca="1">ARR!AF103*45/365</f>
        <v>87.062105504174923</v>
      </c>
      <c r="H116" s="9">
        <f t="shared" si="36"/>
        <v>1.7060287061545494</v>
      </c>
      <c r="I116" s="9">
        <f t="shared" ca="1" si="37"/>
        <v>186.2918677278808</v>
      </c>
      <c r="J116" s="10">
        <v>9.4500000000000001E-2</v>
      </c>
      <c r="K116" s="9">
        <f t="shared" ca="1" si="38"/>
        <v>17.604581500284734</v>
      </c>
    </row>
    <row r="117" spans="1:11" x14ac:dyDescent="0.35">
      <c r="A117" s="91">
        <f>GFA!AR100</f>
        <v>837.49195377299998</v>
      </c>
      <c r="B117" s="7" t="s">
        <v>152</v>
      </c>
      <c r="C117" s="9">
        <f>EC!AT99*60/365</f>
        <v>295.68698873962381</v>
      </c>
      <c r="D117" s="9">
        <f>EC!AU99*2/12</f>
        <v>5.0027607176333584</v>
      </c>
      <c r="E117" s="9">
        <f>'O&amp;M (Summary)'!Q104*1/12</f>
        <v>29.764095443397199</v>
      </c>
      <c r="F117" s="9">
        <f t="shared" si="39"/>
        <v>8.3749195377299994</v>
      </c>
      <c r="G117" s="9">
        <f ca="1">ARR!AF104*45/365</f>
        <v>286.18691619370526</v>
      </c>
      <c r="H117" s="9">
        <f t="shared" si="36"/>
        <v>2.0844836323472324</v>
      </c>
      <c r="I117" s="9">
        <f t="shared" ca="1" si="37"/>
        <v>622.9311969997425</v>
      </c>
      <c r="J117" s="10">
        <v>9.4500000000000001E-2</v>
      </c>
      <c r="K117" s="9">
        <f t="shared" ca="1" si="38"/>
        <v>58.866998116475663</v>
      </c>
    </row>
    <row r="118" spans="1:11" x14ac:dyDescent="0.35">
      <c r="A118" s="91">
        <f>GFA!AR138</f>
        <v>1854.2498561699997</v>
      </c>
      <c r="B118" s="7" t="s">
        <v>154</v>
      </c>
      <c r="C118" s="9">
        <f>EC!AT100*60/365</f>
        <v>241.55203854255512</v>
      </c>
      <c r="D118" s="9">
        <f>EC!AU100*2/12</f>
        <v>0</v>
      </c>
      <c r="E118" s="9">
        <f>'O&amp;M (Summary)'!Q105*1/12</f>
        <v>8.9213017376955452</v>
      </c>
      <c r="F118" s="9">
        <f t="shared" si="39"/>
        <v>18.542498561699997</v>
      </c>
      <c r="G118" s="9">
        <f ca="1">ARR!AF105*45/365</f>
        <v>216.05868431767021</v>
      </c>
      <c r="H118" s="9">
        <f t="shared" si="36"/>
        <v>0</v>
      </c>
      <c r="I118" s="9">
        <f t="shared" ca="1" si="37"/>
        <v>485.07452315962087</v>
      </c>
      <c r="J118" s="10">
        <v>9.4500000000000001E-2</v>
      </c>
      <c r="K118" s="9">
        <f t="shared" ca="1" si="38"/>
        <v>45.839542438584175</v>
      </c>
    </row>
    <row r="119" spans="1:11" x14ac:dyDescent="0.35">
      <c r="A119" s="91">
        <f>GFA!AR157</f>
        <v>3381.2198785847822</v>
      </c>
      <c r="B119" s="7" t="s">
        <v>155</v>
      </c>
      <c r="C119" s="9">
        <f>EC!AT101*60/365</f>
        <v>189.71971344238813</v>
      </c>
      <c r="D119" s="9">
        <f>EC!AU101*2/12</f>
        <v>2.1443614662618322</v>
      </c>
      <c r="E119" s="9">
        <f>'O&amp;M (Summary)'!Q106*1/12</f>
        <v>16.117914339554144</v>
      </c>
      <c r="F119" s="9">
        <f t="shared" si="39"/>
        <v>33.812198785847826</v>
      </c>
      <c r="G119" s="9">
        <f ca="1">ARR!AF106*45/365</f>
        <v>214.31019675981381</v>
      </c>
      <c r="H119" s="9">
        <f t="shared" si="36"/>
        <v>0.89348394427576339</v>
      </c>
      <c r="I119" s="9">
        <f t="shared" ca="1" si="37"/>
        <v>455.21090084958996</v>
      </c>
      <c r="J119" s="10">
        <v>9.4500000000000001E-2</v>
      </c>
      <c r="K119" s="9">
        <f t="shared" ca="1" si="38"/>
        <v>43.01743013028625</v>
      </c>
    </row>
    <row r="120" spans="1:11" x14ac:dyDescent="0.35">
      <c r="A120" s="91">
        <f>GFA!AR176</f>
        <v>3129.9550900632012</v>
      </c>
      <c r="B120" s="7" t="s">
        <v>156</v>
      </c>
      <c r="C120" s="9">
        <f>EC!AT102*60/365</f>
        <v>280.92384748389981</v>
      </c>
      <c r="D120" s="9">
        <f>EC!AU102*2/12</f>
        <v>1.9742794658277381</v>
      </c>
      <c r="E120" s="9">
        <f>'O&amp;M (Summary)'!Q107*1/12</f>
        <v>16.392487921430732</v>
      </c>
      <c r="F120" s="9">
        <f t="shared" si="39"/>
        <v>31.299550900632013</v>
      </c>
      <c r="G120" s="9">
        <f ca="1">ARR!AF107*45/365</f>
        <v>271.60962928036463</v>
      </c>
      <c r="H120" s="9">
        <f t="shared" si="36"/>
        <v>0.82261644409489088</v>
      </c>
      <c r="I120" s="9">
        <f t="shared" ca="1" si="37"/>
        <v>601.37717860806004</v>
      </c>
      <c r="J120" s="10">
        <v>9.4500000000000001E-2</v>
      </c>
      <c r="K120" s="9">
        <f t="shared" ca="1" si="38"/>
        <v>56.830143378461671</v>
      </c>
    </row>
    <row r="121" spans="1:11" x14ac:dyDescent="0.35">
      <c r="A121" s="91">
        <f>GFA!AR195</f>
        <v>3919.4383435834657</v>
      </c>
      <c r="B121" s="7" t="s">
        <v>8</v>
      </c>
      <c r="C121" s="9">
        <f>EC!AT103*60/365</f>
        <v>229.44374597827627</v>
      </c>
      <c r="D121" s="9">
        <f>EC!AU103*2/12</f>
        <v>1.7635503120130014</v>
      </c>
      <c r="E121" s="9">
        <f>'O&amp;M (Summary)'!Q108*1/12</f>
        <v>13.216331691716283</v>
      </c>
      <c r="F121" s="9">
        <f t="shared" si="39"/>
        <v>39.194383435834659</v>
      </c>
      <c r="G121" s="9">
        <f ca="1">ARR!AF108*45/365</f>
        <v>245.46809689580562</v>
      </c>
      <c r="H121" s="9">
        <f t="shared" si="36"/>
        <v>0.73481263000541719</v>
      </c>
      <c r="I121" s="9">
        <f t="shared" ca="1" si="37"/>
        <v>528.35129568364039</v>
      </c>
      <c r="J121" s="10">
        <v>9.4500000000000001E-2</v>
      </c>
      <c r="K121" s="9">
        <f t="shared" ca="1" si="38"/>
        <v>49.929197442104019</v>
      </c>
    </row>
    <row r="122" spans="1:11" x14ac:dyDescent="0.35">
      <c r="A122" s="91">
        <f>GFA!AR214</f>
        <v>6742.6282596858764</v>
      </c>
      <c r="B122" s="7" t="s">
        <v>157</v>
      </c>
      <c r="C122" s="9">
        <f>EC!AT104*60/365</f>
        <v>426.99288528187037</v>
      </c>
      <c r="D122" s="9">
        <f>EC!AU104*2/12</f>
        <v>4.075834623458765</v>
      </c>
      <c r="E122" s="9">
        <f>'O&amp;M (Summary)'!Q109*1/12</f>
        <v>22.096408532316911</v>
      </c>
      <c r="F122" s="9">
        <f t="shared" si="39"/>
        <v>67.426282596858769</v>
      </c>
      <c r="G122" s="9">
        <f ca="1">ARR!AF109*45/365</f>
        <v>452.19939557112355</v>
      </c>
      <c r="H122" s="9">
        <f t="shared" si="36"/>
        <v>1.6982644264411522</v>
      </c>
      <c r="I122" s="9">
        <f t="shared" ca="1" si="37"/>
        <v>971.09254217918726</v>
      </c>
      <c r="J122" s="10">
        <v>9.4500000000000001E-2</v>
      </c>
      <c r="K122" s="9">
        <f t="shared" ca="1" si="38"/>
        <v>91.768245235933193</v>
      </c>
    </row>
    <row r="123" spans="1:11" x14ac:dyDescent="0.35">
      <c r="A123" s="91">
        <f>GFA!AR233</f>
        <v>13431.178661658334</v>
      </c>
      <c r="B123" s="7" t="s">
        <v>158</v>
      </c>
      <c r="C123" s="9">
        <f>EC!AT105*60/365</f>
        <v>592.53918542164433</v>
      </c>
      <c r="D123" s="9">
        <f>EC!AU105*2/12</f>
        <v>6.8379828540151033</v>
      </c>
      <c r="E123" s="9">
        <f>'O&amp;M (Summary)'!Q110*1/12</f>
        <v>39.730283882589376</v>
      </c>
      <c r="F123" s="9">
        <f t="shared" si="39"/>
        <v>134.31178661658333</v>
      </c>
      <c r="G123" s="9">
        <f ca="1">ARR!AF110*45/365</f>
        <v>735.65741451207055</v>
      </c>
      <c r="H123" s="9">
        <f t="shared" si="36"/>
        <v>2.8491595225062931</v>
      </c>
      <c r="I123" s="9">
        <f t="shared" ca="1" si="37"/>
        <v>1506.2274937643963</v>
      </c>
      <c r="J123" s="10">
        <v>9.4500000000000001E-2</v>
      </c>
      <c r="K123" s="9">
        <f t="shared" ca="1" si="38"/>
        <v>142.33849816073544</v>
      </c>
    </row>
    <row r="124" spans="1:11" x14ac:dyDescent="0.35">
      <c r="A124" s="91">
        <f>GFA!AR252</f>
        <v>6784.6139491179883</v>
      </c>
      <c r="B124" s="7" t="s">
        <v>159</v>
      </c>
      <c r="C124" s="9">
        <f>EC!AT106*60/365</f>
        <v>391.96974468143429</v>
      </c>
      <c r="D124" s="9">
        <f>EC!AU106*2/12</f>
        <v>4.0950373562591489</v>
      </c>
      <c r="E124" s="9">
        <f>'O&amp;M (Summary)'!Q111*1/12</f>
        <v>23.848257493627983</v>
      </c>
      <c r="F124" s="9">
        <f t="shared" si="39"/>
        <v>67.846139491179883</v>
      </c>
      <c r="G124" s="9">
        <f ca="1">ARR!AF111*45/365</f>
        <v>448.43645507015998</v>
      </c>
      <c r="H124" s="9">
        <f t="shared" si="36"/>
        <v>1.7062655651079788</v>
      </c>
      <c r="I124" s="9">
        <f t="shared" ca="1" si="37"/>
        <v>934.48936852755332</v>
      </c>
      <c r="J124" s="10">
        <v>9.4500000000000001E-2</v>
      </c>
      <c r="K124" s="9">
        <f t="shared" ca="1" si="38"/>
        <v>88.309245325853794</v>
      </c>
    </row>
    <row r="125" spans="1:11" x14ac:dyDescent="0.35">
      <c r="A125" s="91">
        <f>GFA!AR271</f>
        <v>1979.0866842120281</v>
      </c>
      <c r="B125" s="7" t="s">
        <v>160</v>
      </c>
      <c r="C125" s="9">
        <f>EC!AT107*60/365</f>
        <v>140.46792419349717</v>
      </c>
      <c r="D125" s="9">
        <f>EC!AU107*2/12</f>
        <v>0.99326843372683216</v>
      </c>
      <c r="E125" s="9">
        <f>'O&amp;M (Summary)'!Q112*1/12</f>
        <v>8.3642234973980756</v>
      </c>
      <c r="F125" s="9">
        <f t="shared" si="39"/>
        <v>19.79086684212028</v>
      </c>
      <c r="G125" s="9">
        <f ca="1">ARR!AF112*45/365</f>
        <v>153.50970338044147</v>
      </c>
      <c r="H125" s="9">
        <f t="shared" si="36"/>
        <v>0.41386184738618004</v>
      </c>
      <c r="I125" s="9">
        <f t="shared" ca="1" si="37"/>
        <v>322.71212449979765</v>
      </c>
      <c r="J125" s="10">
        <v>9.4500000000000001E-2</v>
      </c>
      <c r="K125" s="9">
        <f t="shared" ca="1" si="38"/>
        <v>30.496295765230879</v>
      </c>
    </row>
    <row r="126" spans="1:11" x14ac:dyDescent="0.35">
      <c r="A126" s="91">
        <f>GFA!AR290</f>
        <v>412.1306898615</v>
      </c>
      <c r="B126" s="7" t="s">
        <v>161</v>
      </c>
      <c r="C126" s="9"/>
      <c r="D126" s="9"/>
      <c r="E126" s="9">
        <f>'O&amp;M (Summary)'!Q113*1/12</f>
        <v>21.797181358935699</v>
      </c>
      <c r="F126" s="9">
        <f t="shared" si="39"/>
        <v>4.1213068986149999</v>
      </c>
      <c r="G126" s="9">
        <f ca="1">ARR!AF113*45/365</f>
        <v>103.06487437158253</v>
      </c>
      <c r="H126" s="9"/>
      <c r="I126" s="9">
        <f t="shared" ca="1" si="37"/>
        <v>128.98336262913324</v>
      </c>
      <c r="J126" s="10">
        <v>9.4500000000000001E-2</v>
      </c>
      <c r="K126" s="9">
        <f t="shared" ca="1" si="38"/>
        <v>12.188927768453091</v>
      </c>
    </row>
    <row r="127" spans="1:11" x14ac:dyDescent="0.35">
      <c r="B127" s="12" t="s">
        <v>27</v>
      </c>
      <c r="C127" s="13">
        <f>SUM(C113:C126)</f>
        <v>3977.8120778635666</v>
      </c>
      <c r="D127" s="13">
        <f t="shared" ref="D127:I127" si="40">SUM(D113:D126)</f>
        <v>53.240051523878698</v>
      </c>
      <c r="E127" s="13">
        <f t="shared" si="40"/>
        <v>327.38902748292526</v>
      </c>
      <c r="F127" s="13">
        <f t="shared" si="40"/>
        <v>520.05234395647176</v>
      </c>
      <c r="G127" s="13">
        <f t="shared" ca="1" si="40"/>
        <v>4350.8357346757357</v>
      </c>
      <c r="H127" s="13">
        <f t="shared" si="40"/>
        <v>22.183354801616122</v>
      </c>
      <c r="I127" s="13">
        <f t="shared" ca="1" si="40"/>
        <v>9207.1458807009603</v>
      </c>
      <c r="J127" s="7"/>
      <c r="K127" s="13">
        <f t="shared" ref="K127" ca="1" si="41">SUM(K113:K126)</f>
        <v>870.07528572624074</v>
      </c>
    </row>
  </sheetData>
  <mergeCells count="7">
    <mergeCell ref="R3:T3"/>
    <mergeCell ref="B3:B4"/>
    <mergeCell ref="C3:E3"/>
    <mergeCell ref="F3:H3"/>
    <mergeCell ref="I3:K3"/>
    <mergeCell ref="L3:N3"/>
    <mergeCell ref="O3:Q3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114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1.1796875" style="5" bestFit="1" customWidth="1"/>
    <col min="3" max="3" width="14" style="5" customWidth="1"/>
    <col min="4" max="5" width="11.81640625" style="5" customWidth="1"/>
    <col min="6" max="6" width="14" style="5" customWidth="1"/>
    <col min="7" max="8" width="11.81640625" style="5" customWidth="1"/>
    <col min="9" max="9" width="14" style="5" customWidth="1"/>
    <col min="10" max="11" width="11.81640625" style="5" customWidth="1"/>
    <col min="12" max="12" width="14" style="5" customWidth="1"/>
    <col min="13" max="14" width="11.81640625" style="5" customWidth="1"/>
    <col min="15" max="15" width="14" style="5" customWidth="1"/>
    <col min="16" max="17" width="11.81640625" style="5" customWidth="1"/>
    <col min="18" max="18" width="14" style="5" customWidth="1"/>
    <col min="19" max="20" width="11.81640625" style="5" customWidth="1"/>
    <col min="21" max="21" width="14" style="5" customWidth="1"/>
    <col min="22" max="32" width="11.81640625" style="5" customWidth="1"/>
    <col min="33" max="33" width="20.453125" style="5" customWidth="1"/>
    <col min="34" max="16384" width="9.1796875" style="5"/>
  </cols>
  <sheetData>
    <row r="2" spans="2:33" x14ac:dyDescent="0.35">
      <c r="B2" s="3" t="s">
        <v>31</v>
      </c>
      <c r="AF2" s="3" t="s">
        <v>164</v>
      </c>
    </row>
    <row r="3" spans="2:33" ht="15.75" customHeight="1" x14ac:dyDescent="0.35">
      <c r="B3" s="187" t="s">
        <v>170</v>
      </c>
      <c r="C3" s="178" t="s">
        <v>196</v>
      </c>
      <c r="D3" s="196"/>
      <c r="E3" s="179"/>
      <c r="F3" s="178" t="s">
        <v>48</v>
      </c>
      <c r="G3" s="196"/>
      <c r="H3" s="179"/>
      <c r="I3" s="178" t="s">
        <v>24</v>
      </c>
      <c r="J3" s="196"/>
      <c r="K3" s="179"/>
      <c r="L3" s="178" t="s">
        <v>243</v>
      </c>
      <c r="M3" s="196"/>
      <c r="N3" s="179"/>
      <c r="O3" s="178" t="s">
        <v>26</v>
      </c>
      <c r="P3" s="196"/>
      <c r="Q3" s="179"/>
      <c r="R3" s="178" t="s">
        <v>366</v>
      </c>
      <c r="S3" s="196"/>
      <c r="T3" s="179"/>
      <c r="U3" s="178" t="s">
        <v>367</v>
      </c>
      <c r="V3" s="196"/>
      <c r="W3" s="179"/>
      <c r="X3" s="178" t="s">
        <v>368</v>
      </c>
      <c r="Y3" s="196"/>
      <c r="Z3" s="179"/>
      <c r="AA3" s="178" t="s">
        <v>369</v>
      </c>
      <c r="AB3" s="196"/>
      <c r="AC3" s="179"/>
      <c r="AD3" s="178" t="s">
        <v>370</v>
      </c>
      <c r="AE3" s="196"/>
      <c r="AF3" s="179"/>
      <c r="AG3" s="192" t="s">
        <v>371</v>
      </c>
    </row>
    <row r="4" spans="2:33" ht="30" x14ac:dyDescent="0.35">
      <c r="B4" s="187"/>
      <c r="C4" s="96" t="s">
        <v>172</v>
      </c>
      <c r="D4" s="6" t="s">
        <v>131</v>
      </c>
      <c r="E4" s="6" t="s">
        <v>372</v>
      </c>
      <c r="F4" s="96" t="s">
        <v>172</v>
      </c>
      <c r="G4" s="6" t="s">
        <v>131</v>
      </c>
      <c r="H4" s="6" t="s">
        <v>372</v>
      </c>
      <c r="I4" s="96" t="s">
        <v>172</v>
      </c>
      <c r="J4" s="6" t="s">
        <v>131</v>
      </c>
      <c r="K4" s="6" t="s">
        <v>372</v>
      </c>
      <c r="L4" s="96" t="s">
        <v>172</v>
      </c>
      <c r="M4" s="6" t="s">
        <v>131</v>
      </c>
      <c r="N4" s="6" t="s">
        <v>372</v>
      </c>
      <c r="O4" s="96" t="s">
        <v>172</v>
      </c>
      <c r="P4" s="6" t="s">
        <v>131</v>
      </c>
      <c r="Q4" s="6" t="s">
        <v>372</v>
      </c>
      <c r="R4" s="96" t="s">
        <v>172</v>
      </c>
      <c r="S4" s="6" t="s">
        <v>131</v>
      </c>
      <c r="T4" s="6" t="s">
        <v>372</v>
      </c>
      <c r="U4" s="96" t="s">
        <v>172</v>
      </c>
      <c r="V4" s="6" t="s">
        <v>131</v>
      </c>
      <c r="W4" s="6" t="s">
        <v>372</v>
      </c>
      <c r="X4" s="96" t="s">
        <v>172</v>
      </c>
      <c r="Y4" s="6" t="s">
        <v>131</v>
      </c>
      <c r="Z4" s="6" t="s">
        <v>372</v>
      </c>
      <c r="AA4" s="96" t="s">
        <v>172</v>
      </c>
      <c r="AB4" s="6" t="s">
        <v>131</v>
      </c>
      <c r="AC4" s="6" t="s">
        <v>372</v>
      </c>
      <c r="AD4" s="96" t="s">
        <v>172</v>
      </c>
      <c r="AE4" s="6" t="s">
        <v>131</v>
      </c>
      <c r="AF4" s="6" t="s">
        <v>372</v>
      </c>
      <c r="AG4" s="192"/>
    </row>
    <row r="5" spans="2:33" x14ac:dyDescent="0.35">
      <c r="B5" s="7" t="s">
        <v>43</v>
      </c>
      <c r="C5" s="97">
        <f>RoE!C5</f>
        <v>14.473886336020819</v>
      </c>
      <c r="D5" s="97">
        <f>RoE!D5</f>
        <v>14.455101074641496</v>
      </c>
      <c r="E5" s="97">
        <f>RoE!E5</f>
        <v>14.455024784137494</v>
      </c>
      <c r="F5" s="97">
        <f>IoL!E5</f>
        <v>1.3126952756424715</v>
      </c>
      <c r="G5" s="97">
        <f>IoL!H5</f>
        <v>1.8228036605394857</v>
      </c>
      <c r="H5" s="97">
        <f>IoL!K5</f>
        <v>1.8226786085812248</v>
      </c>
      <c r="I5" s="97">
        <f>'Depreciation (Summary)'!C5</f>
        <v>10.6</v>
      </c>
      <c r="J5" s="97">
        <f>'Depreciation (Summary)'!D5</f>
        <v>9.8194460020416265</v>
      </c>
      <c r="K5" s="97">
        <f>'Depreciation (Summary)'!E5</f>
        <v>9.8194460020416265</v>
      </c>
      <c r="L5" s="97">
        <f>'O&amp;M (Summary)'!G5</f>
        <v>88.364690539568414</v>
      </c>
      <c r="M5" s="97">
        <f>'O&amp;M (Summary)'!S5</f>
        <v>103.48691263509251</v>
      </c>
      <c r="N5" s="97">
        <f>'O&amp;M (Summary)'!Y5</f>
        <v>96.635307523314864</v>
      </c>
      <c r="O5" s="97">
        <f>IoWC!C5</f>
        <v>10.424693359543884</v>
      </c>
      <c r="P5" s="97">
        <f>IoWC!D5</f>
        <v>3.3222862985114685</v>
      </c>
      <c r="Q5" s="97">
        <f>IoWC!E5</f>
        <v>3.131035930557764</v>
      </c>
      <c r="R5" s="97">
        <v>2.73</v>
      </c>
      <c r="S5" s="97">
        <v>2.3299716830949557</v>
      </c>
      <c r="T5" s="97">
        <f>S5</f>
        <v>2.3299716830949557</v>
      </c>
      <c r="U5" s="98">
        <f>C5+F5+I5+L5+O5-R5</f>
        <v>122.44596551077558</v>
      </c>
      <c r="V5" s="98">
        <f t="shared" ref="V5:W18" si="0">D5+G5+J5+M5+P5-S5</f>
        <v>130.57657798773164</v>
      </c>
      <c r="W5" s="98">
        <f t="shared" si="0"/>
        <v>123.53352116553802</v>
      </c>
      <c r="X5" s="98"/>
      <c r="Y5" s="98"/>
      <c r="Z5" s="98"/>
      <c r="AA5" s="97">
        <f>EC!AP5</f>
        <v>284.58694125776566</v>
      </c>
      <c r="AB5" s="97">
        <f>EC!AQ5</f>
        <v>17.447052763471294</v>
      </c>
      <c r="AC5" s="97">
        <f>EC!AR5</f>
        <v>16.334113930595453</v>
      </c>
      <c r="AD5" s="98">
        <f>U5+X5+AA5</f>
        <v>407.03290676854124</v>
      </c>
      <c r="AE5" s="98">
        <f t="shared" ref="AE5:AF18" si="1">V5+Y5+AB5</f>
        <v>148.02363075120294</v>
      </c>
      <c r="AF5" s="98">
        <f t="shared" si="1"/>
        <v>139.86763509613348</v>
      </c>
      <c r="AG5" s="9">
        <v>139.26</v>
      </c>
    </row>
    <row r="6" spans="2:33" x14ac:dyDescent="0.35">
      <c r="B6" s="7" t="s">
        <v>150</v>
      </c>
      <c r="C6" s="97">
        <f>RoE!C6</f>
        <v>121.41528727404719</v>
      </c>
      <c r="D6" s="97">
        <f>RoE!D6</f>
        <v>120.34999004657971</v>
      </c>
      <c r="E6" s="97">
        <f>RoE!E6</f>
        <v>120.34989234110519</v>
      </c>
      <c r="F6" s="97">
        <f>IoL!E6</f>
        <v>40.274161592447363</v>
      </c>
      <c r="G6" s="97">
        <f>IoL!H6</f>
        <v>40.091679863509384</v>
      </c>
      <c r="H6" s="97">
        <f>IoL!K6</f>
        <v>40.091864498474443</v>
      </c>
      <c r="I6" s="97">
        <f>'Depreciation (Summary)'!C6</f>
        <v>29.558530007462409</v>
      </c>
      <c r="J6" s="97">
        <f>'Depreciation (Summary)'!D6</f>
        <v>28.733675965256044</v>
      </c>
      <c r="K6" s="97">
        <f>'Depreciation (Summary)'!E6</f>
        <v>28.719067009190308</v>
      </c>
      <c r="L6" s="97">
        <f>'O&amp;M (Summary)'!G6</f>
        <v>639.30906064252508</v>
      </c>
      <c r="M6" s="97">
        <f>'O&amp;M (Summary)'!S6</f>
        <v>638.74582621263824</v>
      </c>
      <c r="N6" s="97">
        <f>'O&amp;M (Summary)'!Y6</f>
        <v>609.88130818522279</v>
      </c>
      <c r="O6" s="97">
        <f>IoWC!C6</f>
        <v>109.35022887541484</v>
      </c>
      <c r="P6" s="97">
        <f>IoWC!D6</f>
        <v>87.831235630362343</v>
      </c>
      <c r="Q6" s="97">
        <f>IoWC!E6</f>
        <v>90.701594645804775</v>
      </c>
      <c r="R6" s="97">
        <v>19.600000000000001</v>
      </c>
      <c r="S6" s="97">
        <v>7.2959335868655018</v>
      </c>
      <c r="T6" s="97">
        <f t="shared" ref="T6:T18" si="2">S6</f>
        <v>7.2959335868655018</v>
      </c>
      <c r="U6" s="98">
        <f t="shared" ref="U6:U18" si="3">C6+F6+I6+L6+O6-R6</f>
        <v>920.30726839189686</v>
      </c>
      <c r="V6" s="98">
        <f t="shared" si="0"/>
        <v>908.45647413148026</v>
      </c>
      <c r="W6" s="98">
        <f t="shared" si="0"/>
        <v>882.44779309293199</v>
      </c>
      <c r="X6" s="98"/>
      <c r="Y6" s="98"/>
      <c r="Z6" s="98"/>
      <c r="AA6" s="97">
        <f>EC!AP6</f>
        <v>3242.5863140755528</v>
      </c>
      <c r="AB6" s="97">
        <f>EC!AQ6</f>
        <v>2439.7299871492919</v>
      </c>
      <c r="AC6" s="97">
        <f>EC!AR6</f>
        <v>2474.8693640656752</v>
      </c>
      <c r="AD6" s="98">
        <f t="shared" ref="AD6:AD18" si="4">U6+X6+AA6</f>
        <v>4162.89358246745</v>
      </c>
      <c r="AE6" s="98">
        <f t="shared" si="1"/>
        <v>3348.1864612807722</v>
      </c>
      <c r="AF6" s="98">
        <f t="shared" si="1"/>
        <v>3357.3171571586072</v>
      </c>
      <c r="AG6" s="9">
        <v>3661.74</v>
      </c>
    </row>
    <row r="7" spans="2:33" x14ac:dyDescent="0.35">
      <c r="B7" s="7" t="s">
        <v>151</v>
      </c>
      <c r="C7" s="97">
        <f>RoE!C7</f>
        <v>152.26360394181719</v>
      </c>
      <c r="D7" s="97">
        <f>RoE!D7</f>
        <v>151.0060060912738</v>
      </c>
      <c r="E7" s="97">
        <f>RoE!E7</f>
        <v>151.00609429656581</v>
      </c>
      <c r="F7" s="97">
        <f>IoL!E7</f>
        <v>9.225094438509716</v>
      </c>
      <c r="G7" s="97">
        <f>IoL!H7</f>
        <v>8.4391678570712561</v>
      </c>
      <c r="H7" s="97">
        <f>IoL!K7</f>
        <v>8.4391284814826459</v>
      </c>
      <c r="I7" s="97">
        <f>'Depreciation (Summary)'!C7</f>
        <v>22.247926734171635</v>
      </c>
      <c r="J7" s="97">
        <f>'Depreciation (Summary)'!D7</f>
        <v>20.994773037228818</v>
      </c>
      <c r="K7" s="97">
        <f>'Depreciation (Summary)'!E7</f>
        <v>20.994773037228818</v>
      </c>
      <c r="L7" s="97">
        <f>'O&amp;M (Summary)'!G7</f>
        <v>304.11753470002179</v>
      </c>
      <c r="M7" s="97">
        <f>'O&amp;M (Summary)'!S7</f>
        <v>304.8655452557586</v>
      </c>
      <c r="N7" s="97">
        <f>'O&amp;M (Summary)'!Y7</f>
        <v>289.8488587714304</v>
      </c>
      <c r="O7" s="97">
        <f>IoWC!C7</f>
        <v>48.575572620813851</v>
      </c>
      <c r="P7" s="97">
        <f>IoWC!D7</f>
        <v>40.381603885343559</v>
      </c>
      <c r="Q7" s="97">
        <f>IoWC!E7</f>
        <v>39.227530697325612</v>
      </c>
      <c r="R7" s="97">
        <v>5.16</v>
      </c>
      <c r="S7" s="97">
        <v>9.0601674117001902</v>
      </c>
      <c r="T7" s="97">
        <f t="shared" si="2"/>
        <v>9.0601674117001902</v>
      </c>
      <c r="U7" s="98">
        <f t="shared" si="3"/>
        <v>531.26973243533428</v>
      </c>
      <c r="V7" s="98">
        <f t="shared" si="0"/>
        <v>516.62692871497586</v>
      </c>
      <c r="W7" s="98">
        <f t="shared" si="0"/>
        <v>500.45621787233307</v>
      </c>
      <c r="X7" s="98"/>
      <c r="Y7" s="98"/>
      <c r="Z7" s="98"/>
      <c r="AA7" s="97">
        <f>EC!AP7</f>
        <v>1345.4481702170165</v>
      </c>
      <c r="AB7" s="97">
        <f>EC!AQ7</f>
        <v>1070.1484228367224</v>
      </c>
      <c r="AC7" s="97">
        <f>EC!AR7</f>
        <v>1074.458428265016</v>
      </c>
      <c r="AD7" s="98">
        <f t="shared" si="4"/>
        <v>1876.7179026523509</v>
      </c>
      <c r="AE7" s="98">
        <f t="shared" si="1"/>
        <v>1586.7753515516983</v>
      </c>
      <c r="AF7" s="98">
        <f t="shared" si="1"/>
        <v>1574.9146461373491</v>
      </c>
      <c r="AG7" s="9">
        <v>1482.58</v>
      </c>
    </row>
    <row r="8" spans="2:33" x14ac:dyDescent="0.35">
      <c r="B8" s="7" t="s">
        <v>44</v>
      </c>
      <c r="C8" s="97">
        <f>RoE!C8</f>
        <v>40.398725681186583</v>
      </c>
      <c r="D8" s="97">
        <f>RoE!D8</f>
        <v>37.75883812636534</v>
      </c>
      <c r="E8" s="97">
        <f>RoE!E8</f>
        <v>37.744180181186593</v>
      </c>
      <c r="F8" s="97">
        <f>IoL!E8</f>
        <v>15.094276303718281</v>
      </c>
      <c r="G8" s="97">
        <f>IoL!H8</f>
        <v>18.123474359868275</v>
      </c>
      <c r="H8" s="97">
        <f>IoL!K8</f>
        <v>18.113145279681536</v>
      </c>
      <c r="I8" s="97">
        <f>'Depreciation (Summary)'!C8</f>
        <v>56.13</v>
      </c>
      <c r="J8" s="97">
        <f>'Depreciation (Summary)'!D8</f>
        <v>63.367227799232211</v>
      </c>
      <c r="K8" s="97">
        <f>'Depreciation (Summary)'!E8</f>
        <v>63.367227799232211</v>
      </c>
      <c r="L8" s="97">
        <f>'O&amp;M (Summary)'!G8</f>
        <v>195.75737191181659</v>
      </c>
      <c r="M8" s="97">
        <f>'O&amp;M (Summary)'!S8</f>
        <v>216.55092382908325</v>
      </c>
      <c r="N8" s="97">
        <f>'O&amp;M (Summary)'!Y8</f>
        <v>205.65678859812084</v>
      </c>
      <c r="O8" s="97">
        <f>IoWC!C8</f>
        <v>22.686141526491312</v>
      </c>
      <c r="P8" s="97">
        <f>IoWC!D8</f>
        <v>11.292949606931648</v>
      </c>
      <c r="Q8" s="97">
        <f>IoWC!E8</f>
        <v>11.33757329321592</v>
      </c>
      <c r="R8" s="97">
        <v>1.6</v>
      </c>
      <c r="S8" s="97">
        <v>7.853624920948298</v>
      </c>
      <c r="T8" s="97">
        <f t="shared" si="2"/>
        <v>7.853624920948298</v>
      </c>
      <c r="U8" s="98">
        <f t="shared" si="3"/>
        <v>328.4665154232128</v>
      </c>
      <c r="V8" s="98">
        <f t="shared" si="0"/>
        <v>339.23978880053244</v>
      </c>
      <c r="W8" s="98">
        <f t="shared" si="0"/>
        <v>328.36529023048882</v>
      </c>
      <c r="X8" s="98"/>
      <c r="Y8" s="98"/>
      <c r="Z8" s="98"/>
      <c r="AA8" s="97">
        <f>EC!AP8</f>
        <v>585.47723837894</v>
      </c>
      <c r="AB8" s="97">
        <f>EC!AQ8</f>
        <v>196.4153826485354</v>
      </c>
      <c r="AC8" s="97">
        <f>EC!AR8</f>
        <v>181.24851743048495</v>
      </c>
      <c r="AD8" s="98">
        <f t="shared" si="4"/>
        <v>913.94375380215274</v>
      </c>
      <c r="AE8" s="98">
        <f t="shared" si="1"/>
        <v>535.65517144906789</v>
      </c>
      <c r="AF8" s="98">
        <f t="shared" si="1"/>
        <v>509.61380766097375</v>
      </c>
      <c r="AG8" s="9">
        <v>474.96</v>
      </c>
    </row>
    <row r="9" spans="2:33" x14ac:dyDescent="0.35">
      <c r="B9" s="7" t="s">
        <v>152</v>
      </c>
      <c r="C9" s="97">
        <f>RoE!C9</f>
        <v>37.915173064725906</v>
      </c>
      <c r="D9" s="97">
        <f>RoE!D9</f>
        <v>37.423463186835342</v>
      </c>
      <c r="E9" s="97">
        <f>RoE!E9</f>
        <v>37.423430396174588</v>
      </c>
      <c r="F9" s="97">
        <f>IoL!E9</f>
        <v>2.1720486821917531</v>
      </c>
      <c r="G9" s="97">
        <f>IoL!H9</f>
        <v>4.8941352600829076</v>
      </c>
      <c r="H9" s="97">
        <f>IoL!K9</f>
        <v>4.8940832140837758</v>
      </c>
      <c r="I9" s="97">
        <f>'Depreciation (Summary)'!C9</f>
        <v>24.64</v>
      </c>
      <c r="J9" s="97">
        <f>'Depreciation (Summary)'!D9</f>
        <v>15.317721155028982</v>
      </c>
      <c r="K9" s="97">
        <f>'Depreciation (Summary)'!E9</f>
        <v>15.317721155028982</v>
      </c>
      <c r="L9" s="97">
        <f>'O&amp;M (Summary)'!G9</f>
        <v>370.69393538931894</v>
      </c>
      <c r="M9" s="97">
        <f>'O&amp;M (Summary)'!S9</f>
        <v>345.48347190728947</v>
      </c>
      <c r="N9" s="97">
        <f>'O&amp;M (Summary)'!Y9</f>
        <v>328.76825785760548</v>
      </c>
      <c r="O9" s="97">
        <f>IoWC!C9</f>
        <v>41.9076699362776</v>
      </c>
      <c r="P9" s="97">
        <f>IoWC!D9</f>
        <v>29.127174603304692</v>
      </c>
      <c r="Q9" s="97">
        <f>IoWC!E9</f>
        <v>29.818345090853331</v>
      </c>
      <c r="R9" s="97">
        <v>12.54</v>
      </c>
      <c r="S9" s="97">
        <v>14.181884239200517</v>
      </c>
      <c r="T9" s="97">
        <f t="shared" si="2"/>
        <v>14.181884239200517</v>
      </c>
      <c r="U9" s="98">
        <f t="shared" si="3"/>
        <v>464.78882707251421</v>
      </c>
      <c r="V9" s="98">
        <f t="shared" si="0"/>
        <v>418.06408187334085</v>
      </c>
      <c r="W9" s="98">
        <f t="shared" si="0"/>
        <v>402.0399534745456</v>
      </c>
      <c r="X9" s="98"/>
      <c r="Y9" s="98"/>
      <c r="Z9" s="98"/>
      <c r="AA9" s="97">
        <f>EC!AP9</f>
        <v>1183.3205835618728</v>
      </c>
      <c r="AB9" s="97">
        <f>EC!AQ9</f>
        <v>791.19859227284985</v>
      </c>
      <c r="AC9" s="97">
        <f>EC!AR9</f>
        <v>782.67223795943471</v>
      </c>
      <c r="AD9" s="98">
        <f t="shared" si="4"/>
        <v>1648.1094106343871</v>
      </c>
      <c r="AE9" s="98">
        <f t="shared" si="1"/>
        <v>1209.2626741461906</v>
      </c>
      <c r="AF9" s="98">
        <f t="shared" si="1"/>
        <v>1184.7121914339803</v>
      </c>
      <c r="AG9" s="9">
        <v>1189.97</v>
      </c>
    </row>
    <row r="10" spans="2:33" x14ac:dyDescent="0.35">
      <c r="B10" s="7" t="s">
        <v>154</v>
      </c>
      <c r="C10" s="97">
        <f>RoE!C10</f>
        <v>45.707953230473329</v>
      </c>
      <c r="D10" s="97">
        <f>RoE!D10</f>
        <v>45.717548145384065</v>
      </c>
      <c r="E10" s="97">
        <f>RoE!E10</f>
        <v>45.717548146011822</v>
      </c>
      <c r="F10" s="97">
        <f>IoL!E10</f>
        <v>9.0235750523747118</v>
      </c>
      <c r="G10" s="97">
        <f>IoL!H10</f>
        <v>9.6396355555802806</v>
      </c>
      <c r="H10" s="97">
        <f>IoL!K10</f>
        <v>9.6396355566226433</v>
      </c>
      <c r="I10" s="97">
        <f>'Depreciation (Summary)'!C10</f>
        <v>2.41</v>
      </c>
      <c r="J10" s="97">
        <f>'Depreciation (Summary)'!D10</f>
        <v>3.3762555058675829</v>
      </c>
      <c r="K10" s="97">
        <f>'Depreciation (Summary)'!E10</f>
        <v>3.3762555058675829</v>
      </c>
      <c r="L10" s="97">
        <f>'O&amp;M (Summary)'!G10</f>
        <v>80.446895585266418</v>
      </c>
      <c r="M10" s="97">
        <f>'O&amp;M (Summary)'!S10</f>
        <v>91.87741783091478</v>
      </c>
      <c r="N10" s="97">
        <f>'O&amp;M (Summary)'!Y10</f>
        <v>85.868346113933171</v>
      </c>
      <c r="O10" s="97">
        <f>IoWC!C10</f>
        <v>18.394742267073269</v>
      </c>
      <c r="P10" s="97">
        <f>IoWC!D10</f>
        <v>21.040509972168092</v>
      </c>
      <c r="Q10" s="97">
        <f>IoWC!E10</f>
        <v>20.525530498176089</v>
      </c>
      <c r="R10" s="97">
        <v>2.38</v>
      </c>
      <c r="S10" s="97">
        <v>3.5352947388138847</v>
      </c>
      <c r="T10" s="97">
        <f t="shared" si="2"/>
        <v>3.5352947388138847</v>
      </c>
      <c r="U10" s="98">
        <f t="shared" si="3"/>
        <v>153.60316613518773</v>
      </c>
      <c r="V10" s="98">
        <f t="shared" si="0"/>
        <v>168.1160722711009</v>
      </c>
      <c r="W10" s="98">
        <f t="shared" si="0"/>
        <v>161.59202108179741</v>
      </c>
      <c r="X10" s="98"/>
      <c r="Y10" s="98"/>
      <c r="Z10" s="98"/>
      <c r="AA10" s="97">
        <f>EC!AP10</f>
        <v>725.97252820793938</v>
      </c>
      <c r="AB10" s="97">
        <f>EC!AQ10</f>
        <v>613.95134600380584</v>
      </c>
      <c r="AC10" s="97">
        <f>EC!AR10</f>
        <v>597.25775723510912</v>
      </c>
      <c r="AD10" s="98">
        <f t="shared" si="4"/>
        <v>879.57569434312711</v>
      </c>
      <c r="AE10" s="98">
        <f t="shared" si="1"/>
        <v>782.06741827490669</v>
      </c>
      <c r="AF10" s="98">
        <f t="shared" si="1"/>
        <v>758.84977831690651</v>
      </c>
      <c r="AG10" s="9">
        <v>735.58</v>
      </c>
    </row>
    <row r="11" spans="2:33" x14ac:dyDescent="0.35">
      <c r="B11" s="7" t="s">
        <v>155</v>
      </c>
      <c r="C11" s="97">
        <f>RoE!C11</f>
        <v>144.90169099203459</v>
      </c>
      <c r="D11" s="97">
        <f>RoE!D11</f>
        <v>142.86592789795304</v>
      </c>
      <c r="E11" s="97">
        <f>RoE!E11</f>
        <v>142.83694541759428</v>
      </c>
      <c r="F11" s="97">
        <f>IoL!E11</f>
        <v>65.749551047146667</v>
      </c>
      <c r="G11" s="97">
        <f>IoL!H11</f>
        <v>65.9363939962698</v>
      </c>
      <c r="H11" s="97">
        <f>IoL!K11</f>
        <v>65.892253281557316</v>
      </c>
      <c r="I11" s="97">
        <f>'Depreciation (Summary)'!C11</f>
        <v>161.62715468479604</v>
      </c>
      <c r="J11" s="97">
        <f>'Depreciation (Summary)'!D11</f>
        <v>161.69748949689082</v>
      </c>
      <c r="K11" s="97">
        <f>'Depreciation (Summary)'!E11</f>
        <v>161.665757089099</v>
      </c>
      <c r="L11" s="97">
        <f>'O&amp;M (Summary)'!G11</f>
        <v>176.76841137226728</v>
      </c>
      <c r="M11" s="97">
        <f>'O&amp;M (Summary)'!S11</f>
        <v>168.42199665513638</v>
      </c>
      <c r="N11" s="97">
        <f>'O&amp;M (Summary)'!Y11</f>
        <v>159.20602959461038</v>
      </c>
      <c r="O11" s="97">
        <f>IoWC!C11</f>
        <v>38.710469670709507</v>
      </c>
      <c r="P11" s="97">
        <f>IoWC!D11</f>
        <v>31.56265575834496</v>
      </c>
      <c r="Q11" s="97">
        <f>IoWC!E11</f>
        <v>31.435333399752139</v>
      </c>
      <c r="R11" s="97">
        <v>3.94</v>
      </c>
      <c r="S11" s="97">
        <v>4.6876422081115212</v>
      </c>
      <c r="T11" s="97">
        <f t="shared" si="2"/>
        <v>4.6876422081115212</v>
      </c>
      <c r="U11" s="98">
        <f t="shared" si="3"/>
        <v>583.81727776695402</v>
      </c>
      <c r="V11" s="98">
        <f t="shared" si="0"/>
        <v>565.79682159648348</v>
      </c>
      <c r="W11" s="98">
        <f t="shared" si="0"/>
        <v>556.34867657450172</v>
      </c>
      <c r="X11" s="98"/>
      <c r="Y11" s="98"/>
      <c r="Z11" s="98"/>
      <c r="AA11" s="97">
        <f>EC!AP11</f>
        <v>989.72637656602126</v>
      </c>
      <c r="AB11" s="97">
        <f>EC!AQ11</f>
        <v>738.13816800514621</v>
      </c>
      <c r="AC11" s="97">
        <f>EC!AR11</f>
        <v>727.24359932114589</v>
      </c>
      <c r="AD11" s="98">
        <f t="shared" si="4"/>
        <v>1573.5436543329752</v>
      </c>
      <c r="AE11" s="98">
        <f t="shared" si="1"/>
        <v>1303.9349896016297</v>
      </c>
      <c r="AF11" s="98">
        <f t="shared" si="1"/>
        <v>1283.5922758956476</v>
      </c>
      <c r="AG11" s="9">
        <v>1310.95</v>
      </c>
    </row>
    <row r="12" spans="2:33" x14ac:dyDescent="0.35">
      <c r="B12" s="7" t="s">
        <v>156</v>
      </c>
      <c r="C12" s="97">
        <f>RoE!C12</f>
        <v>139.45461337576134</v>
      </c>
      <c r="D12" s="97">
        <f>RoE!D12</f>
        <v>139.34485911802972</v>
      </c>
      <c r="E12" s="97">
        <f>RoE!E12</f>
        <v>139.34480819676324</v>
      </c>
      <c r="F12" s="97">
        <f>IoL!E12</f>
        <v>39.862277836855228</v>
      </c>
      <c r="G12" s="97">
        <f>IoL!H12</f>
        <v>41.794357575306954</v>
      </c>
      <c r="H12" s="97">
        <f>IoL!K12</f>
        <v>41.794276596594521</v>
      </c>
      <c r="I12" s="97">
        <f>'Depreciation (Summary)'!C12</f>
        <v>151.41971754200253</v>
      </c>
      <c r="J12" s="97">
        <f>'Depreciation (Summary)'!D12</f>
        <v>153.41767351167729</v>
      </c>
      <c r="K12" s="97">
        <f>'Depreciation (Summary)'!E12</f>
        <v>153.41767351167729</v>
      </c>
      <c r="L12" s="97">
        <f>'O&amp;M (Summary)'!G12</f>
        <v>180.70175223237197</v>
      </c>
      <c r="M12" s="97">
        <f>'O&amp;M (Summary)'!S12</f>
        <v>190.85375332382597</v>
      </c>
      <c r="N12" s="97">
        <f>'O&amp;M (Summary)'!Y12</f>
        <v>179.61501441436965</v>
      </c>
      <c r="O12" s="97">
        <f>IoWC!C12</f>
        <v>28.923172843511306</v>
      </c>
      <c r="P12" s="97">
        <f>IoWC!D12</f>
        <v>25.049386536713623</v>
      </c>
      <c r="Q12" s="97">
        <f>IoWC!E12</f>
        <v>23.764347483607043</v>
      </c>
      <c r="R12" s="97">
        <v>3.95</v>
      </c>
      <c r="S12" s="97">
        <v>2.6520282904448549</v>
      </c>
      <c r="T12" s="97">
        <f t="shared" si="2"/>
        <v>2.6520282904448549</v>
      </c>
      <c r="U12" s="98">
        <f t="shared" si="3"/>
        <v>536.41153383050232</v>
      </c>
      <c r="V12" s="98">
        <f t="shared" si="0"/>
        <v>547.80800177510878</v>
      </c>
      <c r="W12" s="98">
        <f t="shared" si="0"/>
        <v>535.28409191256685</v>
      </c>
      <c r="X12" s="98"/>
      <c r="Y12" s="98"/>
      <c r="Z12" s="98"/>
      <c r="AA12" s="97">
        <f>EC!AP12</f>
        <v>664.44102495509287</v>
      </c>
      <c r="AB12" s="97">
        <f>EC!AQ12</f>
        <v>522.09334345604998</v>
      </c>
      <c r="AC12" s="97">
        <f>EC!AR12</f>
        <v>511.94571485221439</v>
      </c>
      <c r="AD12" s="98">
        <f t="shared" si="4"/>
        <v>1200.8525587855952</v>
      </c>
      <c r="AE12" s="98">
        <f t="shared" si="1"/>
        <v>1069.9013452311588</v>
      </c>
      <c r="AF12" s="98">
        <f t="shared" si="1"/>
        <v>1047.2298067647812</v>
      </c>
      <c r="AG12" s="9">
        <v>959.88</v>
      </c>
    </row>
    <row r="13" spans="2:33" x14ac:dyDescent="0.35">
      <c r="B13" s="7" t="s">
        <v>8</v>
      </c>
      <c r="C13" s="97">
        <f>RoE!C13</f>
        <v>111.67374878145554</v>
      </c>
      <c r="D13" s="97">
        <f>RoE!D13</f>
        <v>109.97746404468404</v>
      </c>
      <c r="E13" s="97">
        <f>RoE!E13</f>
        <v>111.38454575145558</v>
      </c>
      <c r="F13" s="97">
        <f>IoL!E13</f>
        <v>120.81797953760753</v>
      </c>
      <c r="G13" s="97">
        <f>IoL!H13</f>
        <v>116.61677304977333</v>
      </c>
      <c r="H13" s="97">
        <f>IoL!K13</f>
        <v>119.19438113905929</v>
      </c>
      <c r="I13" s="97">
        <f>'Depreciation (Summary)'!C13</f>
        <v>176.98533185143586</v>
      </c>
      <c r="J13" s="97">
        <f>'Depreciation (Summary)'!D13</f>
        <v>177.4979677009311</v>
      </c>
      <c r="K13" s="97">
        <f>'Depreciation (Summary)'!E13</f>
        <v>177.4979677009311</v>
      </c>
      <c r="L13" s="97">
        <f>'O&amp;M (Summary)'!G13</f>
        <v>126.42724650176194</v>
      </c>
      <c r="M13" s="97">
        <f>'O&amp;M (Summary)'!S13</f>
        <v>113.76399116522474</v>
      </c>
      <c r="N13" s="97">
        <f>'O&amp;M (Summary)'!Y13</f>
        <v>108.12983049604675</v>
      </c>
      <c r="O13" s="97">
        <f>IoWC!C13</f>
        <v>35.178044188996836</v>
      </c>
      <c r="P13" s="97">
        <f>IoWC!D13</f>
        <v>33.597649771292424</v>
      </c>
      <c r="Q13" s="97">
        <f>IoWC!E13</f>
        <v>33.68902347290183</v>
      </c>
      <c r="R13" s="97">
        <v>4.0999999999999996</v>
      </c>
      <c r="S13" s="97">
        <v>5.3930138926786864</v>
      </c>
      <c r="T13" s="97">
        <f t="shared" si="2"/>
        <v>5.3930138926786864</v>
      </c>
      <c r="U13" s="98">
        <f t="shared" si="3"/>
        <v>566.98235086125771</v>
      </c>
      <c r="V13" s="98">
        <f t="shared" si="0"/>
        <v>546.06083183922692</v>
      </c>
      <c r="W13" s="98">
        <f t="shared" si="0"/>
        <v>544.5027346677158</v>
      </c>
      <c r="X13" s="98"/>
      <c r="Y13" s="98"/>
      <c r="Z13" s="98"/>
      <c r="AA13" s="97">
        <f>EC!AP13</f>
        <v>855.58685676896789</v>
      </c>
      <c r="AB13" s="97">
        <f>EC!AQ13</f>
        <v>806.21477804510118</v>
      </c>
      <c r="AC13" s="97">
        <f>EC!AR13</f>
        <v>806.59873737639134</v>
      </c>
      <c r="AD13" s="98">
        <f t="shared" si="4"/>
        <v>1422.5692076302257</v>
      </c>
      <c r="AE13" s="98">
        <f t="shared" si="1"/>
        <v>1352.2756098843281</v>
      </c>
      <c r="AF13" s="98">
        <f t="shared" si="1"/>
        <v>1351.1014720441071</v>
      </c>
      <c r="AG13" s="9">
        <v>1404.16</v>
      </c>
    </row>
    <row r="14" spans="2:33" x14ac:dyDescent="0.35">
      <c r="B14" s="7" t="s">
        <v>157</v>
      </c>
      <c r="C14" s="97">
        <f>RoE!C14</f>
        <v>194.99007449787004</v>
      </c>
      <c r="D14" s="97">
        <f>RoE!D14</f>
        <v>198.3298564834385</v>
      </c>
      <c r="E14" s="97">
        <f>RoE!E14</f>
        <v>197.67268755548466</v>
      </c>
      <c r="F14" s="97">
        <f>IoL!E14</f>
        <v>289.91482268539954</v>
      </c>
      <c r="G14" s="97">
        <f>IoL!H14</f>
        <v>296.14229410601666</v>
      </c>
      <c r="H14" s="97">
        <f>IoL!K14</f>
        <v>295.05278899758969</v>
      </c>
      <c r="I14" s="97">
        <f>'Depreciation (Summary)'!C14</f>
        <v>333.26858923148239</v>
      </c>
      <c r="J14" s="97">
        <f>'Depreciation (Summary)'!D14</f>
        <v>342.11433032612871</v>
      </c>
      <c r="K14" s="97">
        <f>'Depreciation (Summary)'!E14</f>
        <v>341.4232185006291</v>
      </c>
      <c r="L14" s="97">
        <f>'O&amp;M (Summary)'!G14</f>
        <v>266.02546977317047</v>
      </c>
      <c r="M14" s="97">
        <f>'O&amp;M (Summary)'!S14</f>
        <v>253.85465904236654</v>
      </c>
      <c r="N14" s="97">
        <f>'O&amp;M (Summary)'!Y14</f>
        <v>239.70398093858191</v>
      </c>
      <c r="O14" s="97">
        <f>IoWC!C14</f>
        <v>76.963812984574488</v>
      </c>
      <c r="P14" s="97">
        <f>IoWC!D14</f>
        <v>61.463718302350109</v>
      </c>
      <c r="Q14" s="97">
        <f>IoWC!E14</f>
        <v>62.414548167854313</v>
      </c>
      <c r="R14" s="97">
        <v>14.87</v>
      </c>
      <c r="S14" s="97">
        <v>8.3130230062617585</v>
      </c>
      <c r="T14" s="97">
        <f t="shared" si="2"/>
        <v>8.3130230062617585</v>
      </c>
      <c r="U14" s="98">
        <f t="shared" si="3"/>
        <v>1146.2927691724972</v>
      </c>
      <c r="V14" s="98">
        <f t="shared" si="0"/>
        <v>1143.5918352540389</v>
      </c>
      <c r="W14" s="98">
        <f t="shared" si="0"/>
        <v>1127.9542011538779</v>
      </c>
      <c r="X14" s="98"/>
      <c r="Y14" s="98"/>
      <c r="Z14" s="98"/>
      <c r="AA14" s="97">
        <f>EC!AP14</f>
        <v>1994.0089815425461</v>
      </c>
      <c r="AB14" s="97">
        <f>EC!AQ14</f>
        <v>1535.7325157255557</v>
      </c>
      <c r="AC14" s="97">
        <f>EC!AR14</f>
        <v>1415.765207757519</v>
      </c>
      <c r="AD14" s="98">
        <f t="shared" si="4"/>
        <v>3140.3017507150435</v>
      </c>
      <c r="AE14" s="98">
        <f t="shared" si="1"/>
        <v>2679.3243509795948</v>
      </c>
      <c r="AF14" s="98">
        <f t="shared" si="1"/>
        <v>2543.7194089113968</v>
      </c>
      <c r="AG14" s="9">
        <v>2677.04</v>
      </c>
    </row>
    <row r="15" spans="2:33" x14ac:dyDescent="0.35">
      <c r="B15" s="7" t="s">
        <v>158</v>
      </c>
      <c r="C15" s="97">
        <f>RoE!C15</f>
        <v>415.26815157950182</v>
      </c>
      <c r="D15" s="97">
        <f>RoE!D15</f>
        <v>446.09335345450734</v>
      </c>
      <c r="E15" s="97">
        <f>RoE!E15</f>
        <v>439.86577744520571</v>
      </c>
      <c r="F15" s="97">
        <f>IoL!E15</f>
        <v>722.15915496316586</v>
      </c>
      <c r="G15" s="97">
        <f>IoL!H15</f>
        <v>765.43836083731458</v>
      </c>
      <c r="H15" s="97">
        <f>IoL!K15</f>
        <v>757.98080503629592</v>
      </c>
      <c r="I15" s="97">
        <f>'Depreciation (Summary)'!C15</f>
        <v>625.76232912580565</v>
      </c>
      <c r="J15" s="97">
        <f>'Depreciation (Summary)'!D15</f>
        <v>669.30799966334098</v>
      </c>
      <c r="K15" s="97">
        <f>'Depreciation (Summary)'!E15</f>
        <v>662.23668491060198</v>
      </c>
      <c r="L15" s="97">
        <f>'O&amp;M (Summary)'!G15</f>
        <v>431.24232126997163</v>
      </c>
      <c r="M15" s="97">
        <f>'O&amp;M (Summary)'!S15</f>
        <v>413.13347049074218</v>
      </c>
      <c r="N15" s="97">
        <f>'O&amp;M (Summary)'!Y15</f>
        <v>393.70708150491811</v>
      </c>
      <c r="O15" s="97">
        <f>IoWC!C15</f>
        <v>122.4924179295559</v>
      </c>
      <c r="P15" s="97">
        <f>IoWC!D15</f>
        <v>115.46482485899982</v>
      </c>
      <c r="Q15" s="97">
        <f>IoWC!E15</f>
        <v>100.06773924505107</v>
      </c>
      <c r="R15" s="97">
        <v>7.27</v>
      </c>
      <c r="S15" s="97">
        <v>10.399862686831613</v>
      </c>
      <c r="T15" s="97">
        <f t="shared" si="2"/>
        <v>10.399862686831613</v>
      </c>
      <c r="U15" s="98">
        <f t="shared" si="3"/>
        <v>2309.654374868001</v>
      </c>
      <c r="V15" s="98">
        <f t="shared" si="0"/>
        <v>2399.0381466180734</v>
      </c>
      <c r="W15" s="98">
        <f t="shared" si="0"/>
        <v>2343.4582254552415</v>
      </c>
      <c r="X15" s="98"/>
      <c r="Y15" s="98"/>
      <c r="Z15" s="98"/>
      <c r="AA15" s="97">
        <f>EC!AP15</f>
        <v>2778.778136173345</v>
      </c>
      <c r="AB15" s="97">
        <f>EC!AQ15</f>
        <v>2782.1105725912621</v>
      </c>
      <c r="AC15" s="97">
        <f>EC!AR15</f>
        <v>2558.8161803974422</v>
      </c>
      <c r="AD15" s="98">
        <f t="shared" si="4"/>
        <v>5088.4325110413465</v>
      </c>
      <c r="AE15" s="98">
        <f t="shared" si="1"/>
        <v>5181.1487192093355</v>
      </c>
      <c r="AF15" s="98">
        <f t="shared" si="1"/>
        <v>4902.2744058526841</v>
      </c>
      <c r="AG15" s="9">
        <v>3747.46</v>
      </c>
    </row>
    <row r="16" spans="2:33" x14ac:dyDescent="0.35">
      <c r="B16" s="7" t="s">
        <v>159</v>
      </c>
      <c r="C16" s="97">
        <f>RoE!C16</f>
        <v>170.63505059765936</v>
      </c>
      <c r="D16" s="97">
        <f>RoE!D16</f>
        <v>179.72114031623036</v>
      </c>
      <c r="E16" s="97">
        <f>RoE!E16</f>
        <v>179.72115027760026</v>
      </c>
      <c r="F16" s="97">
        <f>IoL!E16</f>
        <v>389.86540011556883</v>
      </c>
      <c r="G16" s="97">
        <f>IoL!H16</f>
        <v>386.31129219295974</v>
      </c>
      <c r="H16" s="97">
        <f>IoL!K16</f>
        <v>386.31151051589273</v>
      </c>
      <c r="I16" s="97">
        <f>'Depreciation (Summary)'!C16</f>
        <v>306.62319497398306</v>
      </c>
      <c r="J16" s="97">
        <f>'Depreciation (Summary)'!D16</f>
        <v>321.18711571885598</v>
      </c>
      <c r="K16" s="97">
        <f>'Depreciation (Summary)'!E16</f>
        <v>321.18711571885598</v>
      </c>
      <c r="L16" s="97">
        <f>'O&amp;M (Summary)'!G16</f>
        <v>234.67814471928565</v>
      </c>
      <c r="M16" s="97">
        <f>'O&amp;M (Summary)'!S16</f>
        <v>235.52084189964117</v>
      </c>
      <c r="N16" s="97">
        <f>'O&amp;M (Summary)'!Y16</f>
        <v>224.64880690295524</v>
      </c>
      <c r="O16" s="97">
        <f>IoWC!C16</f>
        <v>71.286550737587476</v>
      </c>
      <c r="P16" s="97">
        <f>IoWC!D16</f>
        <v>77.029068121678094</v>
      </c>
      <c r="Q16" s="97">
        <f>IoWC!E16</f>
        <v>71.733825994816897</v>
      </c>
      <c r="R16" s="97">
        <v>15.14</v>
      </c>
      <c r="S16" s="97">
        <v>3.8047160258257828</v>
      </c>
      <c r="T16" s="97">
        <f t="shared" si="2"/>
        <v>3.8047160258257828</v>
      </c>
      <c r="U16" s="98">
        <f t="shared" si="3"/>
        <v>1157.9483411440845</v>
      </c>
      <c r="V16" s="98">
        <f t="shared" si="0"/>
        <v>1195.9647422235396</v>
      </c>
      <c r="W16" s="98">
        <f t="shared" si="0"/>
        <v>1179.7976933842954</v>
      </c>
      <c r="X16" s="98"/>
      <c r="Y16" s="98"/>
      <c r="Z16" s="98"/>
      <c r="AA16" s="97">
        <f>EC!AP16</f>
        <v>1749.359986008611</v>
      </c>
      <c r="AB16" s="97">
        <f>EC!AQ16</f>
        <v>2030.8487285677008</v>
      </c>
      <c r="AC16" s="97">
        <f>EC!AR16</f>
        <v>1981.7385740216112</v>
      </c>
      <c r="AD16" s="98">
        <f t="shared" si="4"/>
        <v>2907.3083271526957</v>
      </c>
      <c r="AE16" s="98">
        <f t="shared" si="1"/>
        <v>3226.8134707912404</v>
      </c>
      <c r="AF16" s="98">
        <f t="shared" si="1"/>
        <v>3161.5362674059065</v>
      </c>
      <c r="AG16" s="9">
        <v>2762.83</v>
      </c>
    </row>
    <row r="17" spans="2:33" x14ac:dyDescent="0.35">
      <c r="B17" s="7" t="s">
        <v>160</v>
      </c>
      <c r="C17" s="97">
        <f>RoE!C17</f>
        <v>57.296702301372001</v>
      </c>
      <c r="D17" s="97">
        <f>RoE!D17</f>
        <v>58.539203615251509</v>
      </c>
      <c r="E17" s="97">
        <f>RoE!E17</f>
        <v>58.537918979118693</v>
      </c>
      <c r="F17" s="97">
        <f>IoL!E17</f>
        <v>119.14897622390909</v>
      </c>
      <c r="G17" s="97">
        <f>IoL!H17</f>
        <v>123.66706054240596</v>
      </c>
      <c r="H17" s="97">
        <f>IoL!K17</f>
        <v>123.66504901573198</v>
      </c>
      <c r="I17" s="97">
        <f>'Depreciation (Summary)'!C17</f>
        <v>90.8</v>
      </c>
      <c r="J17" s="97">
        <f>'Depreciation (Summary)'!D17</f>
        <v>93.476948123354603</v>
      </c>
      <c r="K17" s="97">
        <f>'Depreciation (Summary)'!E17</f>
        <v>93.475624499132977</v>
      </c>
      <c r="L17" s="97">
        <f>'O&amp;M (Summary)'!G17</f>
        <v>101.27195822641897</v>
      </c>
      <c r="M17" s="97">
        <f>'O&amp;M (Summary)'!S17</f>
        <v>94.201858613832385</v>
      </c>
      <c r="N17" s="97">
        <f>'O&amp;M (Summary)'!Y17</f>
        <v>89.445407861772779</v>
      </c>
      <c r="O17" s="97">
        <f>IoWC!C17</f>
        <v>17.628735190316284</v>
      </c>
      <c r="P17" s="97">
        <f>IoWC!D17</f>
        <v>14.933875411522472</v>
      </c>
      <c r="Q17" s="97">
        <f>IoWC!E17</f>
        <v>13.518873097175534</v>
      </c>
      <c r="R17" s="97">
        <v>1.08</v>
      </c>
      <c r="S17" s="97">
        <v>0.32685074522242741</v>
      </c>
      <c r="T17" s="97">
        <f t="shared" si="2"/>
        <v>0.32685074522242741</v>
      </c>
      <c r="U17" s="98">
        <f t="shared" si="3"/>
        <v>385.06637194201636</v>
      </c>
      <c r="V17" s="98">
        <f t="shared" si="0"/>
        <v>384.49209556114448</v>
      </c>
      <c r="W17" s="98">
        <f t="shared" si="0"/>
        <v>378.31602270770946</v>
      </c>
      <c r="X17" s="98"/>
      <c r="Y17" s="98"/>
      <c r="Z17" s="98"/>
      <c r="AA17" s="97">
        <f>EC!AP17</f>
        <v>382.9522652301705</v>
      </c>
      <c r="AB17" s="97">
        <f>EC!AQ17</f>
        <v>275.87556694391418</v>
      </c>
      <c r="AC17" s="97">
        <f>EC!AR17</f>
        <v>270.78525821170035</v>
      </c>
      <c r="AD17" s="98">
        <f t="shared" si="4"/>
        <v>768.0186371721868</v>
      </c>
      <c r="AE17" s="98">
        <f t="shared" si="1"/>
        <v>660.36766250505866</v>
      </c>
      <c r="AF17" s="98">
        <f t="shared" si="1"/>
        <v>649.10128091940987</v>
      </c>
      <c r="AG17" s="9">
        <v>569.49</v>
      </c>
    </row>
    <row r="18" spans="2:33" x14ac:dyDescent="0.35">
      <c r="B18" s="7" t="s">
        <v>161</v>
      </c>
      <c r="C18" s="97">
        <f>RoE!C18</f>
        <v>4.2089595925335912</v>
      </c>
      <c r="D18" s="97">
        <f>RoE!D18</f>
        <v>3.9644678809373954</v>
      </c>
      <c r="E18" s="97">
        <f>RoE!E18</f>
        <v>3.9641935287286456</v>
      </c>
      <c r="F18" s="97">
        <f>IoL!E18</f>
        <v>4.7579124389536602</v>
      </c>
      <c r="G18" s="97">
        <f>IoL!H18</f>
        <v>3.8650785250431392</v>
      </c>
      <c r="H18" s="97">
        <f>IoL!K18</f>
        <v>3.8646173121534053</v>
      </c>
      <c r="I18" s="97">
        <f>'Depreciation (Summary)'!C18</f>
        <v>8.27</v>
      </c>
      <c r="J18" s="97">
        <f>'Depreciation (Summary)'!D18</f>
        <v>31.269661962585602</v>
      </c>
      <c r="K18" s="97">
        <f>'Depreciation (Summary)'!E18</f>
        <v>31.269661962585602</v>
      </c>
      <c r="L18" s="97">
        <f>'O&amp;M (Summary)'!G18</f>
        <v>198.49445476599993</v>
      </c>
      <c r="M18" s="97">
        <f>'O&amp;M (Summary)'!S18</f>
        <v>226.5895229502157</v>
      </c>
      <c r="N18" s="97">
        <f>'O&amp;M (Summary)'!Y18</f>
        <v>205.10467012693508</v>
      </c>
      <c r="O18" s="97">
        <f>IoWC!C18</f>
        <v>11.283021714307031</v>
      </c>
      <c r="P18" s="97">
        <f>IoWC!D18</f>
        <v>12.886304593578856</v>
      </c>
      <c r="Q18" s="97">
        <f>IoWC!E18</f>
        <v>11.292264967225517</v>
      </c>
      <c r="R18" s="97">
        <v>4.76</v>
      </c>
      <c r="S18" s="97">
        <v>3.8784671729999998</v>
      </c>
      <c r="T18" s="97">
        <f t="shared" si="2"/>
        <v>3.8784671729999998</v>
      </c>
      <c r="U18" s="98">
        <f t="shared" si="3"/>
        <v>222.25434851179423</v>
      </c>
      <c r="V18" s="98">
        <f t="shared" si="0"/>
        <v>274.69656873936071</v>
      </c>
      <c r="W18" s="98">
        <f t="shared" si="0"/>
        <v>251.61694072462825</v>
      </c>
      <c r="X18" s="97">
        <v>580.71</v>
      </c>
      <c r="Y18" s="97">
        <v>580.71340000000055</v>
      </c>
      <c r="Z18" s="97">
        <f>X18</f>
        <v>580.71</v>
      </c>
      <c r="AA18" s="97"/>
      <c r="AB18" s="97"/>
      <c r="AC18" s="97"/>
      <c r="AD18" s="98">
        <f t="shared" si="4"/>
        <v>802.96434851179424</v>
      </c>
      <c r="AE18" s="98">
        <f t="shared" si="1"/>
        <v>855.40996873936126</v>
      </c>
      <c r="AF18" s="98">
        <f t="shared" si="1"/>
        <v>832.32694072462823</v>
      </c>
      <c r="AG18" s="9">
        <v>790.52</v>
      </c>
    </row>
    <row r="19" spans="2:33" x14ac:dyDescent="0.35">
      <c r="B19" s="12" t="s">
        <v>27</v>
      </c>
      <c r="C19" s="98">
        <f>SUM(C5:C18)</f>
        <v>1650.6036212464592</v>
      </c>
      <c r="D19" s="98">
        <f>SUM(D5:D18)</f>
        <v>1685.5472194821118</v>
      </c>
      <c r="E19" s="98">
        <f t="shared" ref="E19:AG19" si="5">SUM(E5:E18)</f>
        <v>1680.0241972971326</v>
      </c>
      <c r="F19" s="98">
        <f t="shared" si="5"/>
        <v>1829.3779261934903</v>
      </c>
      <c r="G19" s="98">
        <f t="shared" si="5"/>
        <v>1882.7825073817419</v>
      </c>
      <c r="H19" s="98">
        <f t="shared" si="5"/>
        <v>1876.756217533801</v>
      </c>
      <c r="I19" s="98">
        <f t="shared" si="5"/>
        <v>2000.3427741511398</v>
      </c>
      <c r="J19" s="98">
        <f t="shared" si="5"/>
        <v>2091.5782859684205</v>
      </c>
      <c r="K19" s="98">
        <f t="shared" si="5"/>
        <v>2083.7681944021028</v>
      </c>
      <c r="L19" s="98">
        <f t="shared" si="5"/>
        <v>3394.2992476297645</v>
      </c>
      <c r="M19" s="98">
        <f t="shared" si="5"/>
        <v>3397.3501918117618</v>
      </c>
      <c r="N19" s="98">
        <f t="shared" si="5"/>
        <v>3216.2196888898175</v>
      </c>
      <c r="O19" s="98">
        <f t="shared" si="5"/>
        <v>653.80527384517359</v>
      </c>
      <c r="P19" s="98">
        <f t="shared" si="5"/>
        <v>564.98324335110203</v>
      </c>
      <c r="Q19" s="98">
        <f t="shared" si="5"/>
        <v>542.65756598431778</v>
      </c>
      <c r="R19" s="98">
        <f t="shared" si="5"/>
        <v>99.12</v>
      </c>
      <c r="S19" s="98">
        <f t="shared" si="5"/>
        <v>83.712480608999996</v>
      </c>
      <c r="T19" s="98">
        <f t="shared" si="5"/>
        <v>83.712480608999996</v>
      </c>
      <c r="U19" s="98">
        <f t="shared" si="5"/>
        <v>9429.30884306603</v>
      </c>
      <c r="V19" s="98">
        <f t="shared" si="5"/>
        <v>9538.5289673861389</v>
      </c>
      <c r="W19" s="98">
        <f t="shared" si="5"/>
        <v>9315.7133834981723</v>
      </c>
      <c r="X19" s="98">
        <f t="shared" si="5"/>
        <v>580.71</v>
      </c>
      <c r="Y19" s="98">
        <f t="shared" si="5"/>
        <v>580.71340000000055</v>
      </c>
      <c r="Z19" s="98">
        <f t="shared" si="5"/>
        <v>580.71</v>
      </c>
      <c r="AA19" s="98">
        <f t="shared" si="5"/>
        <v>16782.245402943841</v>
      </c>
      <c r="AB19" s="98">
        <f t="shared" si="5"/>
        <v>13819.904457009407</v>
      </c>
      <c r="AC19" s="98">
        <f t="shared" si="5"/>
        <v>13399.733690824338</v>
      </c>
      <c r="AD19" s="98">
        <f t="shared" si="5"/>
        <v>26792.264246009872</v>
      </c>
      <c r="AE19" s="98">
        <f t="shared" si="5"/>
        <v>23939.146824395546</v>
      </c>
      <c r="AF19" s="98">
        <f t="shared" si="5"/>
        <v>23296.157074322517</v>
      </c>
      <c r="AG19" s="98">
        <f t="shared" si="5"/>
        <v>21906.42</v>
      </c>
    </row>
    <row r="21" spans="2:33" x14ac:dyDescent="0.35">
      <c r="B21" s="3" t="s">
        <v>32</v>
      </c>
      <c r="AF21" s="3" t="s">
        <v>164</v>
      </c>
    </row>
    <row r="22" spans="2:33" ht="15.75" customHeight="1" x14ac:dyDescent="0.35">
      <c r="B22" s="187" t="s">
        <v>170</v>
      </c>
      <c r="C22" s="178" t="s">
        <v>196</v>
      </c>
      <c r="D22" s="196"/>
      <c r="E22" s="179"/>
      <c r="F22" s="178" t="s">
        <v>48</v>
      </c>
      <c r="G22" s="196"/>
      <c r="H22" s="179"/>
      <c r="I22" s="178" t="s">
        <v>24</v>
      </c>
      <c r="J22" s="196"/>
      <c r="K22" s="179"/>
      <c r="L22" s="178" t="s">
        <v>243</v>
      </c>
      <c r="M22" s="196"/>
      <c r="N22" s="179"/>
      <c r="O22" s="178" t="s">
        <v>26</v>
      </c>
      <c r="P22" s="196"/>
      <c r="Q22" s="179"/>
      <c r="R22" s="178" t="s">
        <v>366</v>
      </c>
      <c r="S22" s="196"/>
      <c r="T22" s="179"/>
      <c r="U22" s="178" t="s">
        <v>367</v>
      </c>
      <c r="V22" s="196"/>
      <c r="W22" s="179"/>
      <c r="X22" s="178" t="s">
        <v>368</v>
      </c>
      <c r="Y22" s="196"/>
      <c r="Z22" s="179"/>
      <c r="AA22" s="178" t="s">
        <v>369</v>
      </c>
      <c r="AB22" s="196"/>
      <c r="AC22" s="179"/>
      <c r="AD22" s="178" t="s">
        <v>370</v>
      </c>
      <c r="AE22" s="196"/>
      <c r="AF22" s="179"/>
      <c r="AG22" s="192" t="s">
        <v>371</v>
      </c>
    </row>
    <row r="23" spans="2:33" ht="30" x14ac:dyDescent="0.35">
      <c r="B23" s="187"/>
      <c r="C23" s="96" t="s">
        <v>172</v>
      </c>
      <c r="D23" s="6" t="s">
        <v>131</v>
      </c>
      <c r="E23" s="6" t="s">
        <v>372</v>
      </c>
      <c r="F23" s="96" t="s">
        <v>172</v>
      </c>
      <c r="G23" s="6" t="s">
        <v>131</v>
      </c>
      <c r="H23" s="6" t="s">
        <v>372</v>
      </c>
      <c r="I23" s="96" t="s">
        <v>172</v>
      </c>
      <c r="J23" s="6" t="s">
        <v>131</v>
      </c>
      <c r="K23" s="6" t="s">
        <v>372</v>
      </c>
      <c r="L23" s="96" t="s">
        <v>172</v>
      </c>
      <c r="M23" s="6" t="s">
        <v>131</v>
      </c>
      <c r="N23" s="6" t="s">
        <v>372</v>
      </c>
      <c r="O23" s="96" t="s">
        <v>172</v>
      </c>
      <c r="P23" s="6" t="s">
        <v>131</v>
      </c>
      <c r="Q23" s="6" t="s">
        <v>372</v>
      </c>
      <c r="R23" s="96" t="s">
        <v>172</v>
      </c>
      <c r="S23" s="6" t="s">
        <v>131</v>
      </c>
      <c r="T23" s="6" t="s">
        <v>372</v>
      </c>
      <c r="U23" s="96" t="s">
        <v>172</v>
      </c>
      <c r="V23" s="6" t="s">
        <v>131</v>
      </c>
      <c r="W23" s="6" t="s">
        <v>372</v>
      </c>
      <c r="X23" s="96" t="s">
        <v>172</v>
      </c>
      <c r="Y23" s="6" t="s">
        <v>131</v>
      </c>
      <c r="Z23" s="6" t="s">
        <v>372</v>
      </c>
      <c r="AA23" s="96" t="s">
        <v>172</v>
      </c>
      <c r="AB23" s="6" t="s">
        <v>131</v>
      </c>
      <c r="AC23" s="6" t="s">
        <v>372</v>
      </c>
      <c r="AD23" s="96" t="s">
        <v>172</v>
      </c>
      <c r="AE23" s="6" t="s">
        <v>131</v>
      </c>
      <c r="AF23" s="6" t="s">
        <v>372</v>
      </c>
      <c r="AG23" s="192"/>
    </row>
    <row r="24" spans="2:33" x14ac:dyDescent="0.35">
      <c r="B24" s="7" t="s">
        <v>43</v>
      </c>
      <c r="C24" s="97">
        <f>RoE!F5</f>
        <v>13.337577658341388</v>
      </c>
      <c r="D24" s="97">
        <f>RoE!G5</f>
        <v>14.380975142747463</v>
      </c>
      <c r="E24" s="97">
        <f>RoE!H5</f>
        <v>14.145080547342749</v>
      </c>
      <c r="F24" s="97">
        <f>IoL!R5</f>
        <v>0.51592018371214499</v>
      </c>
      <c r="G24" s="97">
        <f>IoL!U5</f>
        <v>1.2665021940918137</v>
      </c>
      <c r="H24" s="97">
        <f>IoL!X5</f>
        <v>1.3694115620515779</v>
      </c>
      <c r="I24" s="97">
        <f>'Depreciation (Summary)'!F5</f>
        <v>14.443960577627552</v>
      </c>
      <c r="J24" s="97">
        <f>'Depreciation (Summary)'!G5</f>
        <v>10.920626918916366</v>
      </c>
      <c r="K24" s="97">
        <f>'Depreciation (Summary)'!H5</f>
        <v>8.9321540062769671</v>
      </c>
      <c r="L24" s="97">
        <f>'O&amp;M (Summary)'!G24</f>
        <v>123.1051574546226</v>
      </c>
      <c r="M24" s="97">
        <f>'O&amp;M (Summary)'!S24</f>
        <v>101.42878112661396</v>
      </c>
      <c r="N24" s="97">
        <f>'O&amp;M (Summary)'!Y24</f>
        <v>109.53877052806561</v>
      </c>
      <c r="O24" s="97">
        <f>IoWC!F5</f>
        <v>15.667304907670975</v>
      </c>
      <c r="P24" s="97">
        <f>IoWC!G5</f>
        <v>4.6528763239057618</v>
      </c>
      <c r="Q24" s="97">
        <f>IoWC!H5</f>
        <v>4.4844646917467008</v>
      </c>
      <c r="R24" s="97">
        <v>2.73</v>
      </c>
      <c r="S24" s="97">
        <v>1.2716115182843193</v>
      </c>
      <c r="T24" s="97">
        <f>S24</f>
        <v>1.2716115182843193</v>
      </c>
      <c r="U24" s="98">
        <f>C24+F24+I24+L24+O24-R24</f>
        <v>164.33992078197466</v>
      </c>
      <c r="V24" s="98">
        <f t="shared" ref="V24:W37" si="6">D24+G24+J24+M24+P24-S24</f>
        <v>131.37815018799105</v>
      </c>
      <c r="W24" s="98">
        <f t="shared" si="6"/>
        <v>137.19826981719928</v>
      </c>
      <c r="X24" s="98"/>
      <c r="Y24" s="98"/>
      <c r="Z24" s="98"/>
      <c r="AA24" s="97">
        <f>EC!AP23</f>
        <v>449.86750551669519</v>
      </c>
      <c r="AB24" s="97">
        <f>EC!AQ23</f>
        <v>74.364754178963182</v>
      </c>
      <c r="AC24" s="97">
        <f>EC!AR23</f>
        <v>70.226961183576719</v>
      </c>
      <c r="AD24" s="98">
        <f>U24+X24+AA24</f>
        <v>614.20742629866982</v>
      </c>
      <c r="AE24" s="98">
        <f t="shared" ref="AE24:AF37" si="7">V24+Y24+AB24</f>
        <v>205.74290436695424</v>
      </c>
      <c r="AF24" s="98">
        <f t="shared" si="7"/>
        <v>207.42523100077599</v>
      </c>
      <c r="AG24" s="9">
        <v>220.3077735</v>
      </c>
    </row>
    <row r="25" spans="2:33" x14ac:dyDescent="0.35">
      <c r="B25" s="7" t="s">
        <v>150</v>
      </c>
      <c r="C25" s="97">
        <f>RoE!F6</f>
        <v>114.82390276365554</v>
      </c>
      <c r="D25" s="97">
        <f>RoE!G6</f>
        <v>114.11467419595661</v>
      </c>
      <c r="E25" s="97">
        <f>RoE!H6</f>
        <v>111.09734041867453</v>
      </c>
      <c r="F25" s="97">
        <f>IoL!R6</f>
        <v>45.701346602873542</v>
      </c>
      <c r="G25" s="97">
        <f>IoL!U6</f>
        <v>39.564256165741746</v>
      </c>
      <c r="H25" s="97">
        <f>IoL!X6</f>
        <v>39.565924514429696</v>
      </c>
      <c r="I25" s="97">
        <f>'Depreciation (Summary)'!F6</f>
        <v>38.547155670518798</v>
      </c>
      <c r="J25" s="97">
        <f>'Depreciation (Summary)'!G6</f>
        <v>33.87716062820445</v>
      </c>
      <c r="K25" s="97">
        <f>'Depreciation (Summary)'!H6</f>
        <v>33.85936877652604</v>
      </c>
      <c r="L25" s="97">
        <f>'O&amp;M (Summary)'!G25</f>
        <v>718.2789427938643</v>
      </c>
      <c r="M25" s="97">
        <f>'O&amp;M (Summary)'!S25</f>
        <v>636.36279796483257</v>
      </c>
      <c r="N25" s="97">
        <f>'O&amp;M (Summary)'!Y25</f>
        <v>663.34856645818866</v>
      </c>
      <c r="O25" s="97">
        <f>IoWC!F6</f>
        <v>93.798203391661545</v>
      </c>
      <c r="P25" s="97">
        <f>IoWC!G6</f>
        <v>87.528591444411077</v>
      </c>
      <c r="Q25" s="97">
        <f>IoWC!H6</f>
        <v>73.028562161030266</v>
      </c>
      <c r="R25" s="97">
        <v>19.600000000000001</v>
      </c>
      <c r="S25" s="97">
        <v>12.881457182287528</v>
      </c>
      <c r="T25" s="97">
        <f t="shared" ref="T25:T37" si="8">S25</f>
        <v>12.881457182287528</v>
      </c>
      <c r="U25" s="98">
        <f t="shared" ref="U25:U37" si="9">C25+F25+I25+L25+O25-R25</f>
        <v>991.54955122257365</v>
      </c>
      <c r="V25" s="98">
        <f t="shared" si="6"/>
        <v>898.56602321685898</v>
      </c>
      <c r="W25" s="98">
        <f t="shared" si="6"/>
        <v>908.01830514656172</v>
      </c>
      <c r="X25" s="98"/>
      <c r="Y25" s="98"/>
      <c r="Z25" s="98"/>
      <c r="AA25" s="97">
        <f>EC!AP24</f>
        <v>2659.6384998272051</v>
      </c>
      <c r="AB25" s="97">
        <f>EC!AQ24</f>
        <v>2539.0797686724231</v>
      </c>
      <c r="AC25" s="97">
        <f>EC!AR24</f>
        <v>2485.2366890052936</v>
      </c>
      <c r="AD25" s="98">
        <f t="shared" ref="AD25:AD37" si="10">U25+X25+AA25</f>
        <v>3651.1880510497786</v>
      </c>
      <c r="AE25" s="98">
        <f t="shared" si="7"/>
        <v>3437.645791889282</v>
      </c>
      <c r="AF25" s="98">
        <f t="shared" si="7"/>
        <v>3393.2549941518555</v>
      </c>
      <c r="AG25" s="9">
        <v>2859.5107811000003</v>
      </c>
    </row>
    <row r="26" spans="2:33" x14ac:dyDescent="0.35">
      <c r="B26" s="7" t="s">
        <v>151</v>
      </c>
      <c r="C26" s="97">
        <f>RoE!F7</f>
        <v>142.86063146357682</v>
      </c>
      <c r="D26" s="97">
        <f>RoE!G7</f>
        <v>141.72937579467319</v>
      </c>
      <c r="E26" s="97">
        <f>RoE!H7</f>
        <v>136.83840268444445</v>
      </c>
      <c r="F26" s="97">
        <f>IoL!R7</f>
        <v>15.671248147700647</v>
      </c>
      <c r="G26" s="97">
        <f>IoL!U7</f>
        <v>6.6535596413097204</v>
      </c>
      <c r="H26" s="97">
        <f>IoL!X7</f>
        <v>6.6511003513298323</v>
      </c>
      <c r="I26" s="97">
        <f>'Depreciation (Summary)'!F7</f>
        <v>33.593774021512566</v>
      </c>
      <c r="J26" s="97">
        <f>'Depreciation (Summary)'!G7</f>
        <v>21.828565134195518</v>
      </c>
      <c r="K26" s="97">
        <f>'Depreciation (Summary)'!H7</f>
        <v>21.819917115245222</v>
      </c>
      <c r="L26" s="97">
        <f>'O&amp;M (Summary)'!G26</f>
        <v>331.45869416738373</v>
      </c>
      <c r="M26" s="97">
        <f>'O&amp;M (Summary)'!S26</f>
        <v>352.21127953599193</v>
      </c>
      <c r="N26" s="97">
        <f>'O&amp;M (Summary)'!Y26</f>
        <v>367.57732038830886</v>
      </c>
      <c r="O26" s="97">
        <f>IoWC!F7</f>
        <v>46.101040187912886</v>
      </c>
      <c r="P26" s="97">
        <f>IoWC!G7</f>
        <v>49.030478356130388</v>
      </c>
      <c r="Q26" s="97">
        <f>IoWC!H7</f>
        <v>40.93615763401327</v>
      </c>
      <c r="R26" s="97">
        <v>5.16</v>
      </c>
      <c r="S26" s="97">
        <v>3.2701171944147704</v>
      </c>
      <c r="T26" s="97">
        <f t="shared" si="8"/>
        <v>3.2701171944147704</v>
      </c>
      <c r="U26" s="98">
        <f t="shared" si="9"/>
        <v>564.52538798808666</v>
      </c>
      <c r="V26" s="98">
        <f t="shared" si="6"/>
        <v>568.18314126788607</v>
      </c>
      <c r="W26" s="98">
        <f t="shared" si="6"/>
        <v>570.55278097892688</v>
      </c>
      <c r="X26" s="98"/>
      <c r="Y26" s="98"/>
      <c r="Z26" s="98"/>
      <c r="AA26" s="97">
        <f>EC!AP25</f>
        <v>1254.573939377173</v>
      </c>
      <c r="AB26" s="97">
        <f>EC!AQ25</f>
        <v>1368.4171927645953</v>
      </c>
      <c r="AC26" s="97">
        <f>EC!AR25</f>
        <v>1330.6965819697937</v>
      </c>
      <c r="AD26" s="98">
        <f t="shared" si="10"/>
        <v>1819.0993273652598</v>
      </c>
      <c r="AE26" s="98">
        <f t="shared" si="7"/>
        <v>1936.6003340324814</v>
      </c>
      <c r="AF26" s="98">
        <f t="shared" si="7"/>
        <v>1901.2493629487205</v>
      </c>
      <c r="AG26" s="9">
        <v>1654.9065913000002</v>
      </c>
    </row>
    <row r="27" spans="2:33" x14ac:dyDescent="0.35">
      <c r="B27" s="7" t="s">
        <v>44</v>
      </c>
      <c r="C27" s="97">
        <f>RoE!F8</f>
        <v>41.111355583007253</v>
      </c>
      <c r="D27" s="97">
        <f>RoE!G8</f>
        <v>39.658094770959188</v>
      </c>
      <c r="E27" s="97">
        <f>RoE!H8</f>
        <v>38.533622680232298</v>
      </c>
      <c r="F27" s="97">
        <f>IoL!R8</f>
        <v>15.511593003857726</v>
      </c>
      <c r="G27" s="97">
        <f>IoL!U8</f>
        <v>13.663286522690203</v>
      </c>
      <c r="H27" s="97">
        <f>IoL!X8</f>
        <v>13.617530987355519</v>
      </c>
      <c r="I27" s="97">
        <f>'Depreciation (Summary)'!F8</f>
        <v>68.420500892867679</v>
      </c>
      <c r="J27" s="97">
        <f>'Depreciation (Summary)'!G8</f>
        <v>67.873981493610074</v>
      </c>
      <c r="K27" s="97">
        <f>'Depreciation (Summary)'!H8</f>
        <v>66.847023810220904</v>
      </c>
      <c r="L27" s="97">
        <f>'O&amp;M (Summary)'!G27</f>
        <v>232.32161294738347</v>
      </c>
      <c r="M27" s="97">
        <f>'O&amp;M (Summary)'!S27</f>
        <v>229.24736191985551</v>
      </c>
      <c r="N27" s="97">
        <f>'O&amp;M (Summary)'!Y27</f>
        <v>216.74987820771815</v>
      </c>
      <c r="O27" s="97">
        <f>IoWC!F8</f>
        <v>17.545987718253865</v>
      </c>
      <c r="P27" s="97">
        <f>IoWC!G8</f>
        <v>10.081077808931717</v>
      </c>
      <c r="Q27" s="97">
        <f>IoWC!H8</f>
        <v>9.8445134381781347</v>
      </c>
      <c r="R27" s="97">
        <v>1.6</v>
      </c>
      <c r="S27" s="97">
        <v>1.5338966629319111</v>
      </c>
      <c r="T27" s="97">
        <f t="shared" si="8"/>
        <v>1.5338966629319111</v>
      </c>
      <c r="U27" s="98">
        <f t="shared" si="9"/>
        <v>373.31105014536996</v>
      </c>
      <c r="V27" s="98">
        <f t="shared" si="6"/>
        <v>358.98990585311475</v>
      </c>
      <c r="W27" s="98">
        <f t="shared" si="6"/>
        <v>344.0586724607731</v>
      </c>
      <c r="X27" s="98"/>
      <c r="Y27" s="98"/>
      <c r="Z27" s="98"/>
      <c r="AA27" s="97">
        <f>EC!AP26</f>
        <v>366.50076138054874</v>
      </c>
      <c r="AB27" s="97">
        <f>EC!AQ26</f>
        <v>165.77057200567103</v>
      </c>
      <c r="AC27" s="97">
        <f>EC!AR26</f>
        <v>128.64268735545335</v>
      </c>
      <c r="AD27" s="98">
        <f t="shared" si="10"/>
        <v>739.81181152591876</v>
      </c>
      <c r="AE27" s="98">
        <f t="shared" si="7"/>
        <v>524.76047785878575</v>
      </c>
      <c r="AF27" s="98">
        <f t="shared" si="7"/>
        <v>472.70135981622644</v>
      </c>
      <c r="AG27" s="9">
        <v>511.4161679</v>
      </c>
    </row>
    <row r="28" spans="2:33" x14ac:dyDescent="0.35">
      <c r="B28" s="7" t="s">
        <v>152</v>
      </c>
      <c r="C28" s="97">
        <f>RoE!F9</f>
        <v>35.957672768139531</v>
      </c>
      <c r="D28" s="97">
        <f>RoE!G9</f>
        <v>37.571332085065436</v>
      </c>
      <c r="E28" s="97">
        <f>RoE!H9</f>
        <v>36.921906106281085</v>
      </c>
      <c r="F28" s="97">
        <f>IoL!R9</f>
        <v>1.0543137724437051</v>
      </c>
      <c r="G28" s="97">
        <f>IoL!U9</f>
        <v>5.4028742884503682</v>
      </c>
      <c r="H28" s="97">
        <f>IoL!X9</f>
        <v>5.7590944098418202</v>
      </c>
      <c r="I28" s="97">
        <f>'Depreciation (Summary)'!F9</f>
        <v>15.487563584193486</v>
      </c>
      <c r="J28" s="97">
        <f>'Depreciation (Summary)'!G9</f>
        <v>16.069712742212733</v>
      </c>
      <c r="K28" s="97">
        <f>'Depreciation (Summary)'!H9</f>
        <v>7.76845909804684</v>
      </c>
      <c r="L28" s="97">
        <f>'O&amp;M (Summary)'!G28</f>
        <v>393.19582141854471</v>
      </c>
      <c r="M28" s="97">
        <f>'O&amp;M (Summary)'!S28</f>
        <v>313.23540726913205</v>
      </c>
      <c r="N28" s="97">
        <f>'O&amp;M (Summary)'!Y28</f>
        <v>309.63422158866979</v>
      </c>
      <c r="O28" s="97">
        <f>IoWC!F9</f>
        <v>46.167822605848009</v>
      </c>
      <c r="P28" s="97">
        <f>IoWC!G9</f>
        <v>13.294265547661267</v>
      </c>
      <c r="Q28" s="97">
        <f>IoWC!H9</f>
        <v>13.920677294704451</v>
      </c>
      <c r="R28" s="97">
        <v>12.54</v>
      </c>
      <c r="S28" s="97">
        <v>1.586275609064808</v>
      </c>
      <c r="T28" s="97">
        <f t="shared" si="8"/>
        <v>1.586275609064808</v>
      </c>
      <c r="U28" s="98">
        <f t="shared" si="9"/>
        <v>479.32319414916941</v>
      </c>
      <c r="V28" s="98">
        <f t="shared" si="6"/>
        <v>383.98731632345709</v>
      </c>
      <c r="W28" s="98">
        <f t="shared" si="6"/>
        <v>372.4180828884792</v>
      </c>
      <c r="X28" s="98"/>
      <c r="Y28" s="98"/>
      <c r="Z28" s="98"/>
      <c r="AA28" s="97">
        <f>EC!AP27</f>
        <v>1337.488669323644</v>
      </c>
      <c r="AB28" s="97">
        <f>EC!AQ27</f>
        <v>263.28458219924903</v>
      </c>
      <c r="AC28" s="97">
        <f>EC!AR27</f>
        <v>244.57514132943098</v>
      </c>
      <c r="AD28" s="98">
        <f t="shared" si="10"/>
        <v>1816.8118634728135</v>
      </c>
      <c r="AE28" s="98">
        <f t="shared" si="7"/>
        <v>647.27189852270612</v>
      </c>
      <c r="AF28" s="98">
        <f t="shared" si="7"/>
        <v>616.99322421791021</v>
      </c>
      <c r="AG28" s="9">
        <v>719.94</v>
      </c>
    </row>
    <row r="29" spans="2:33" x14ac:dyDescent="0.35">
      <c r="B29" s="7" t="s">
        <v>154</v>
      </c>
      <c r="C29" s="97">
        <f>RoE!F10</f>
        <v>42.672072917846883</v>
      </c>
      <c r="D29" s="97">
        <f>RoE!G10</f>
        <v>42.21405412302235</v>
      </c>
      <c r="E29" s="97">
        <f>RoE!H10</f>
        <v>41.473425047951579</v>
      </c>
      <c r="F29" s="97">
        <f>IoL!R10</f>
        <v>10.278161826966569</v>
      </c>
      <c r="G29" s="97">
        <f>IoL!U10</f>
        <v>9.7982650656234185</v>
      </c>
      <c r="H29" s="97">
        <f>IoL!X10</f>
        <v>9.7461429699394788</v>
      </c>
      <c r="I29" s="97">
        <f>'Depreciation (Summary)'!F10</f>
        <v>17.964188797150417</v>
      </c>
      <c r="J29" s="97">
        <f>'Depreciation (Summary)'!G10</f>
        <v>4.214941893998108</v>
      </c>
      <c r="K29" s="97">
        <f>'Depreciation (Summary)'!H10</f>
        <v>5.2082109146872195</v>
      </c>
      <c r="L29" s="97">
        <f>'O&amp;M (Summary)'!G29</f>
        <v>93.879921878907382</v>
      </c>
      <c r="M29" s="97">
        <f>'O&amp;M (Summary)'!S29</f>
        <v>85.979713075844927</v>
      </c>
      <c r="N29" s="97">
        <f>'O&amp;M (Summary)'!Y29</f>
        <v>94.544632981827149</v>
      </c>
      <c r="O29" s="97">
        <f>IoWC!F10</f>
        <v>25.9507996941791</v>
      </c>
      <c r="P29" s="97">
        <f>IoWC!G10</f>
        <v>12.233599195134108</v>
      </c>
      <c r="Q29" s="97">
        <f>IoWC!H10</f>
        <v>10.757836613935842</v>
      </c>
      <c r="R29" s="97">
        <v>2.38</v>
      </c>
      <c r="S29" s="97">
        <v>0.65829671166912851</v>
      </c>
      <c r="T29" s="97">
        <f t="shared" si="8"/>
        <v>0.65829671166912851</v>
      </c>
      <c r="U29" s="98">
        <f t="shared" si="9"/>
        <v>188.36514511505035</v>
      </c>
      <c r="V29" s="98">
        <f t="shared" si="6"/>
        <v>153.78227664195379</v>
      </c>
      <c r="W29" s="98">
        <f t="shared" si="6"/>
        <v>161.07195181667214</v>
      </c>
      <c r="X29" s="98"/>
      <c r="Y29" s="98"/>
      <c r="Z29" s="98"/>
      <c r="AA29" s="97">
        <f>EC!AP28</f>
        <v>777.68308187811112</v>
      </c>
      <c r="AB29" s="97">
        <f>EC!AQ28</f>
        <v>302.77591781475149</v>
      </c>
      <c r="AC29" s="97">
        <f>EC!AR28</f>
        <v>295.04801424452512</v>
      </c>
      <c r="AD29" s="98">
        <f t="shared" si="10"/>
        <v>966.04822699316151</v>
      </c>
      <c r="AE29" s="98">
        <f t="shared" si="7"/>
        <v>456.55819445670528</v>
      </c>
      <c r="AF29" s="98">
        <f t="shared" si="7"/>
        <v>456.11996606119726</v>
      </c>
      <c r="AG29" s="9">
        <v>423.20400000000001</v>
      </c>
    </row>
    <row r="30" spans="2:33" x14ac:dyDescent="0.35">
      <c r="B30" s="7" t="s">
        <v>155</v>
      </c>
      <c r="C30" s="97">
        <f>RoE!F11</f>
        <v>133.49974670248287</v>
      </c>
      <c r="D30" s="97">
        <f>RoE!G11</f>
        <v>131.75003926023945</v>
      </c>
      <c r="E30" s="97">
        <f>RoE!H11</f>
        <v>129.34757372930036</v>
      </c>
      <c r="F30" s="97">
        <f>IoL!R11</f>
        <v>53.637478541186013</v>
      </c>
      <c r="G30" s="97">
        <f>IoL!U11</f>
        <v>50.334887434898569</v>
      </c>
      <c r="H30" s="97">
        <f>IoL!X11</f>
        <v>50.182824769255248</v>
      </c>
      <c r="I30" s="97">
        <f>'Depreciation (Summary)'!F11</f>
        <v>164.88448026490434</v>
      </c>
      <c r="J30" s="97">
        <f>'Depreciation (Summary)'!G11</f>
        <v>161.86226278648749</v>
      </c>
      <c r="K30" s="97">
        <f>'Depreciation (Summary)'!H11</f>
        <v>161.76102072141887</v>
      </c>
      <c r="L30" s="97">
        <f>'O&amp;M (Summary)'!G30</f>
        <v>192.16136570781075</v>
      </c>
      <c r="M30" s="97">
        <f>'O&amp;M (Summary)'!S30</f>
        <v>169.265011143425</v>
      </c>
      <c r="N30" s="97">
        <f>'O&amp;M (Summary)'!Y30</f>
        <v>169.265011143425</v>
      </c>
      <c r="O30" s="97">
        <f>IoWC!F11</f>
        <v>37.507491938197973</v>
      </c>
      <c r="P30" s="97">
        <f>IoWC!G11</f>
        <v>36.767453983221323</v>
      </c>
      <c r="Q30" s="97">
        <f>IoWC!H11</f>
        <v>31.490248868102462</v>
      </c>
      <c r="R30" s="97">
        <v>3.94</v>
      </c>
      <c r="S30" s="97">
        <v>2.8813189183371488</v>
      </c>
      <c r="T30" s="97">
        <f t="shared" si="8"/>
        <v>2.8813189183371488</v>
      </c>
      <c r="U30" s="98">
        <f t="shared" si="9"/>
        <v>577.75056315458187</v>
      </c>
      <c r="V30" s="98">
        <f t="shared" si="6"/>
        <v>547.09833568993474</v>
      </c>
      <c r="W30" s="98">
        <f t="shared" si="6"/>
        <v>539.1653603131648</v>
      </c>
      <c r="X30" s="98"/>
      <c r="Y30" s="98"/>
      <c r="Z30" s="98"/>
      <c r="AA30" s="97">
        <f>EC!AP29</f>
        <v>948.73312309774633</v>
      </c>
      <c r="AB30" s="97">
        <f>EC!AQ29</f>
        <v>951.99235929922065</v>
      </c>
      <c r="AC30" s="97">
        <f>EC!AR29</f>
        <v>925.04373097881671</v>
      </c>
      <c r="AD30" s="98">
        <f t="shared" si="10"/>
        <v>1526.4836862523282</v>
      </c>
      <c r="AE30" s="98">
        <f t="shared" si="7"/>
        <v>1499.0906949891555</v>
      </c>
      <c r="AF30" s="98">
        <f t="shared" si="7"/>
        <v>1464.2090912919816</v>
      </c>
      <c r="AG30" s="9">
        <v>1374.83</v>
      </c>
    </row>
    <row r="31" spans="2:33" x14ac:dyDescent="0.35">
      <c r="B31" s="7" t="s">
        <v>156</v>
      </c>
      <c r="C31" s="97">
        <f>RoE!F12</f>
        <v>129.09682562971994</v>
      </c>
      <c r="D31" s="97">
        <f>RoE!G12</f>
        <v>136.59340481693962</v>
      </c>
      <c r="E31" s="97">
        <f>RoE!H12</f>
        <v>134.31593281531426</v>
      </c>
      <c r="F31" s="97">
        <f>IoL!R12</f>
        <v>29.568151092334986</v>
      </c>
      <c r="G31" s="97">
        <f>IoL!U12</f>
        <v>29.820200515330622</v>
      </c>
      <c r="H31" s="97">
        <f>IoL!X12</f>
        <v>29.818727448995599</v>
      </c>
      <c r="I31" s="97">
        <f>'Depreciation (Summary)'!F12</f>
        <v>155.36284479965067</v>
      </c>
      <c r="J31" s="97">
        <f>'Depreciation (Summary)'!G12</f>
        <v>156.22578488692861</v>
      </c>
      <c r="K31" s="97">
        <f>'Depreciation (Summary)'!H12</f>
        <v>156.22475262276819</v>
      </c>
      <c r="L31" s="97">
        <f>'O&amp;M (Summary)'!G31</f>
        <v>195.27218390672277</v>
      </c>
      <c r="M31" s="97">
        <f>'O&amp;M (Summary)'!S31</f>
        <v>172.46958600588968</v>
      </c>
      <c r="N31" s="97">
        <f>'O&amp;M (Summary)'!Y31</f>
        <v>172.46958600588968</v>
      </c>
      <c r="O31" s="97">
        <f>IoWC!F12</f>
        <v>45.217758441509346</v>
      </c>
      <c r="P31" s="97">
        <f>IoWC!G12</f>
        <v>22.729709038977212</v>
      </c>
      <c r="Q31" s="97">
        <f>IoWC!H12</f>
        <v>19.9730909726356</v>
      </c>
      <c r="R31" s="97">
        <v>3.95</v>
      </c>
      <c r="S31" s="97">
        <v>1.3671335496704826</v>
      </c>
      <c r="T31" s="97">
        <f t="shared" si="8"/>
        <v>1.3671335496704826</v>
      </c>
      <c r="U31" s="98">
        <f t="shared" si="9"/>
        <v>550.56776386993772</v>
      </c>
      <c r="V31" s="98">
        <f t="shared" si="6"/>
        <v>516.47155171439533</v>
      </c>
      <c r="W31" s="98">
        <f t="shared" si="6"/>
        <v>511.43495631593294</v>
      </c>
      <c r="X31" s="98"/>
      <c r="Y31" s="98"/>
      <c r="Z31" s="98"/>
      <c r="AA31" s="97">
        <f>EC!AP30</f>
        <v>1251.2668026736214</v>
      </c>
      <c r="AB31" s="97">
        <f>EC!AQ30</f>
        <v>444.63868580747067</v>
      </c>
      <c r="AC31" s="97">
        <f>EC!AR30</f>
        <v>446.22000473271521</v>
      </c>
      <c r="AD31" s="98">
        <f t="shared" si="10"/>
        <v>1801.834566543559</v>
      </c>
      <c r="AE31" s="98">
        <f t="shared" si="7"/>
        <v>961.110237521866</v>
      </c>
      <c r="AF31" s="98">
        <f t="shared" si="7"/>
        <v>957.65496104864815</v>
      </c>
      <c r="AG31" s="9">
        <v>938.78230299999996</v>
      </c>
    </row>
    <row r="32" spans="2:33" x14ac:dyDescent="0.35">
      <c r="B32" s="7" t="s">
        <v>8</v>
      </c>
      <c r="C32" s="97">
        <f>RoE!F13</f>
        <v>104.88233680260502</v>
      </c>
      <c r="D32" s="97">
        <f>RoE!G13</f>
        <v>101.64822854462093</v>
      </c>
      <c r="E32" s="97">
        <f>RoE!H13</f>
        <v>101.13574149924216</v>
      </c>
      <c r="F32" s="97">
        <f>IoL!R13</f>
        <v>109.97308832766645</v>
      </c>
      <c r="G32" s="97">
        <f>IoL!U13</f>
        <v>98.879433748216641</v>
      </c>
      <c r="H32" s="97">
        <f>IoL!X13</f>
        <v>101.36135381055578</v>
      </c>
      <c r="I32" s="97">
        <f>'Depreciation (Summary)'!F13</f>
        <v>182.03367185143586</v>
      </c>
      <c r="J32" s="97">
        <f>'Depreciation (Summary)'!G13</f>
        <v>180.02030633775797</v>
      </c>
      <c r="K32" s="97">
        <f>'Depreciation (Summary)'!H13</f>
        <v>182.11428842455439</v>
      </c>
      <c r="L32" s="97">
        <f>'O&amp;M (Summary)'!G32</f>
        <v>137.64741388103596</v>
      </c>
      <c r="M32" s="97">
        <f>'O&amp;M (Summary)'!S32</f>
        <v>137.41555062090444</v>
      </c>
      <c r="N32" s="97">
        <f>'O&amp;M (Summary)'!Y32</f>
        <v>137.41555062090444</v>
      </c>
      <c r="O32" s="97">
        <f>IoWC!F13</f>
        <v>33.735006899868928</v>
      </c>
      <c r="P32" s="97">
        <f>IoWC!G13</f>
        <v>31.526619127256293</v>
      </c>
      <c r="Q32" s="97">
        <f>IoWC!H13</f>
        <v>26.864861221520925</v>
      </c>
      <c r="R32" s="97">
        <v>4.0999999999999996</v>
      </c>
      <c r="S32" s="97">
        <v>1.9470945300087912</v>
      </c>
      <c r="T32" s="97">
        <f t="shared" si="8"/>
        <v>1.9470945300087912</v>
      </c>
      <c r="U32" s="98">
        <f t="shared" si="9"/>
        <v>564.17151776261221</v>
      </c>
      <c r="V32" s="98">
        <f t="shared" si="6"/>
        <v>547.5430438487474</v>
      </c>
      <c r="W32" s="98">
        <f t="shared" si="6"/>
        <v>546.94470104676884</v>
      </c>
      <c r="X32" s="98"/>
      <c r="Y32" s="98"/>
      <c r="Z32" s="98"/>
      <c r="AA32" s="97">
        <f>EC!AP31</f>
        <v>823.99544613183571</v>
      </c>
      <c r="AB32" s="97">
        <f>EC!AQ31</f>
        <v>741.31692326982079</v>
      </c>
      <c r="AC32" s="97">
        <f>EC!AR31</f>
        <v>730.38406123490745</v>
      </c>
      <c r="AD32" s="98">
        <f t="shared" si="10"/>
        <v>1388.1669638944479</v>
      </c>
      <c r="AE32" s="98">
        <f t="shared" si="7"/>
        <v>1288.8599671185682</v>
      </c>
      <c r="AF32" s="98">
        <f t="shared" si="7"/>
        <v>1277.3287622816763</v>
      </c>
      <c r="AG32" s="9">
        <v>1192.4000000999999</v>
      </c>
    </row>
    <row r="33" spans="2:33" x14ac:dyDescent="0.35">
      <c r="B33" s="7" t="s">
        <v>157</v>
      </c>
      <c r="C33" s="97">
        <f>RoE!F14</f>
        <v>178.62957601722513</v>
      </c>
      <c r="D33" s="97">
        <f>RoE!G14</f>
        <v>191.6166502808191</v>
      </c>
      <c r="E33" s="97">
        <f>RoE!H14</f>
        <v>187.7536400596436</v>
      </c>
      <c r="F33" s="97">
        <f>IoL!R14</f>
        <v>259.36821116264372</v>
      </c>
      <c r="G33" s="97">
        <f>IoL!U14</f>
        <v>267.56001388728004</v>
      </c>
      <c r="H33" s="97">
        <f>IoL!X14</f>
        <v>266.55815494459995</v>
      </c>
      <c r="I33" s="97">
        <f>'Depreciation (Summary)'!F14</f>
        <v>336.42340020486421</v>
      </c>
      <c r="J33" s="97">
        <f>'Depreciation (Summary)'!G14</f>
        <v>344.67563723666478</v>
      </c>
      <c r="K33" s="97">
        <f>'Depreciation (Summary)'!H14</f>
        <v>343.57857554058791</v>
      </c>
      <c r="L33" s="97">
        <f>'O&amp;M (Summary)'!G33</f>
        <v>287.2611554239146</v>
      </c>
      <c r="M33" s="97">
        <f>'O&amp;M (Summary)'!S33</f>
        <v>241.00210574633886</v>
      </c>
      <c r="N33" s="97">
        <f>'O&amp;M (Summary)'!Y33</f>
        <v>241.00210574633886</v>
      </c>
      <c r="O33" s="97">
        <f>IoWC!F14</f>
        <v>84.612268184812493</v>
      </c>
      <c r="P33" s="97">
        <f>IoWC!G14</f>
        <v>57.422294702701542</v>
      </c>
      <c r="Q33" s="97">
        <f>IoWC!H14</f>
        <v>50.301054260962943</v>
      </c>
      <c r="R33" s="97">
        <v>14.87</v>
      </c>
      <c r="S33" s="97">
        <v>6.5408966914331863</v>
      </c>
      <c r="T33" s="97">
        <f t="shared" si="8"/>
        <v>6.5408966914331863</v>
      </c>
      <c r="U33" s="98">
        <f t="shared" si="9"/>
        <v>1131.4246109934604</v>
      </c>
      <c r="V33" s="98">
        <f t="shared" si="6"/>
        <v>1095.7358051623712</v>
      </c>
      <c r="W33" s="98">
        <f t="shared" si="6"/>
        <v>1082.6526338607002</v>
      </c>
      <c r="X33" s="98"/>
      <c r="Y33" s="98"/>
      <c r="Z33" s="98"/>
      <c r="AA33" s="97">
        <f>EC!AP32</f>
        <v>2286.4281397392165</v>
      </c>
      <c r="AB33" s="97">
        <f>EC!AQ32</f>
        <v>1338.9687814570775</v>
      </c>
      <c r="AC33" s="97">
        <f>EC!AR32</f>
        <v>1296.0930234057441</v>
      </c>
      <c r="AD33" s="98">
        <f t="shared" si="10"/>
        <v>3417.8527507326771</v>
      </c>
      <c r="AE33" s="98">
        <f t="shared" si="7"/>
        <v>2434.7045866194485</v>
      </c>
      <c r="AF33" s="98">
        <f t="shared" si="7"/>
        <v>2378.7456572664441</v>
      </c>
      <c r="AG33" s="9">
        <v>2332.7000000999997</v>
      </c>
    </row>
    <row r="34" spans="2:33" x14ac:dyDescent="0.35">
      <c r="B34" s="7" t="s">
        <v>158</v>
      </c>
      <c r="C34" s="97">
        <f>RoE!F15</f>
        <v>383.61925343406614</v>
      </c>
      <c r="D34" s="97">
        <f>RoE!G15</f>
        <v>419.18221041661246</v>
      </c>
      <c r="E34" s="97">
        <f>RoE!H15</f>
        <v>406.20343580275767</v>
      </c>
      <c r="F34" s="97">
        <f>IoL!R15</f>
        <v>674.03874785668802</v>
      </c>
      <c r="G34" s="97">
        <f>IoL!U15</f>
        <v>759.69667612991054</v>
      </c>
      <c r="H34" s="97">
        <f>IoL!X15</f>
        <v>752.52679719409309</v>
      </c>
      <c r="I34" s="97">
        <f>'Depreciation (Summary)'!F15</f>
        <v>636.49624519780559</v>
      </c>
      <c r="J34" s="97">
        <f>'Depreciation (Summary)'!G15</f>
        <v>678.94262601966363</v>
      </c>
      <c r="K34" s="97">
        <f>'Depreciation (Summary)'!H15</f>
        <v>671.87153783019414</v>
      </c>
      <c r="L34" s="97">
        <f>'O&amp;M (Summary)'!G34</f>
        <v>427.83656521271337</v>
      </c>
      <c r="M34" s="97">
        <f>'O&amp;M (Summary)'!S34</f>
        <v>415.37667810412944</v>
      </c>
      <c r="N34" s="97">
        <f>'O&amp;M (Summary)'!Y34</f>
        <v>425.27007810412948</v>
      </c>
      <c r="O34" s="97">
        <f>IoWC!F15</f>
        <v>102.31073580401105</v>
      </c>
      <c r="P34" s="97">
        <f>IoWC!G15</f>
        <v>99.217855975762944</v>
      </c>
      <c r="Q34" s="97">
        <f>IoWC!H15</f>
        <v>79.316548769550977</v>
      </c>
      <c r="R34" s="97">
        <v>7.27</v>
      </c>
      <c r="S34" s="97">
        <v>6.9438061326212646</v>
      </c>
      <c r="T34" s="97">
        <f t="shared" si="8"/>
        <v>6.9438061326212646</v>
      </c>
      <c r="U34" s="98">
        <f t="shared" si="9"/>
        <v>2217.0315475052839</v>
      </c>
      <c r="V34" s="98">
        <f t="shared" si="6"/>
        <v>2365.472240513458</v>
      </c>
      <c r="W34" s="98">
        <f t="shared" si="6"/>
        <v>2328.2445915681037</v>
      </c>
      <c r="X34" s="98"/>
      <c r="Y34" s="98"/>
      <c r="Z34" s="98"/>
      <c r="AA34" s="97">
        <f>EC!AP33</f>
        <v>2234.5346651087066</v>
      </c>
      <c r="AB34" s="97">
        <f>EC!AQ33</f>
        <v>2216.8456818437289</v>
      </c>
      <c r="AC34" s="97">
        <f>EC!AR33</f>
        <v>1962.4565516113908</v>
      </c>
      <c r="AD34" s="98">
        <f t="shared" si="10"/>
        <v>4451.5662126139905</v>
      </c>
      <c r="AE34" s="98">
        <f t="shared" si="7"/>
        <v>4582.3179223571869</v>
      </c>
      <c r="AF34" s="98">
        <f t="shared" si="7"/>
        <v>4290.7011431794945</v>
      </c>
      <c r="AG34" s="9">
        <v>3586.4061450999998</v>
      </c>
    </row>
    <row r="35" spans="2:33" x14ac:dyDescent="0.35">
      <c r="B35" s="7" t="s">
        <v>159</v>
      </c>
      <c r="C35" s="97">
        <f>RoE!F16</f>
        <v>160.34491118498269</v>
      </c>
      <c r="D35" s="97">
        <f>RoE!G16</f>
        <v>169.82075676237963</v>
      </c>
      <c r="E35" s="97">
        <f>RoE!H16</f>
        <v>169.82066077989103</v>
      </c>
      <c r="F35" s="97">
        <f>IoL!R16</f>
        <v>368.59760016208639</v>
      </c>
      <c r="G35" s="97">
        <f>IoL!U16</f>
        <v>389.67973298352553</v>
      </c>
      <c r="H35" s="97">
        <f>IoL!X16</f>
        <v>389.67979414165433</v>
      </c>
      <c r="I35" s="97">
        <f>'Depreciation (Summary)'!F16</f>
        <v>314.44630697398298</v>
      </c>
      <c r="J35" s="97">
        <f>'Depreciation (Summary)'!G16</f>
        <v>322.742751994412</v>
      </c>
      <c r="K35" s="97">
        <f>'Depreciation (Summary)'!H16</f>
        <v>322.74265188031723</v>
      </c>
      <c r="L35" s="97">
        <f>'O&amp;M (Summary)'!G35</f>
        <v>255.44805544271787</v>
      </c>
      <c r="M35" s="97">
        <f>'O&amp;M (Summary)'!S35</f>
        <v>246.47342240332222</v>
      </c>
      <c r="N35" s="97">
        <f>'O&amp;M (Summary)'!Y35</f>
        <v>246.47342240332222</v>
      </c>
      <c r="O35" s="97">
        <f>IoWC!F16</f>
        <v>67.223102548780901</v>
      </c>
      <c r="P35" s="97">
        <f>IoWC!G16</f>
        <v>67.223102548780901</v>
      </c>
      <c r="Q35" s="97">
        <f>IoWC!H16</f>
        <v>59.364158146052837</v>
      </c>
      <c r="R35" s="97">
        <v>15.14</v>
      </c>
      <c r="S35" s="97">
        <v>6.7232164804414225</v>
      </c>
      <c r="T35" s="97">
        <f t="shared" si="8"/>
        <v>6.7232164804414225</v>
      </c>
      <c r="U35" s="98">
        <f t="shared" si="9"/>
        <v>1150.9199763125505</v>
      </c>
      <c r="V35" s="98">
        <f t="shared" si="6"/>
        <v>1189.216550211979</v>
      </c>
      <c r="W35" s="98">
        <f t="shared" si="6"/>
        <v>1181.3574708707963</v>
      </c>
      <c r="X35" s="98"/>
      <c r="Y35" s="98"/>
      <c r="Z35" s="98"/>
      <c r="AA35" s="97">
        <f>EC!AP34</f>
        <v>1678.9474603096285</v>
      </c>
      <c r="AB35" s="97">
        <f>EC!AQ34</f>
        <v>1690.6364661937405</v>
      </c>
      <c r="AC35" s="97">
        <f>EC!AR34</f>
        <v>1678.3428590528608</v>
      </c>
      <c r="AD35" s="98">
        <f t="shared" si="10"/>
        <v>2829.867436622179</v>
      </c>
      <c r="AE35" s="98">
        <f t="shared" si="7"/>
        <v>2879.8530164057192</v>
      </c>
      <c r="AF35" s="98">
        <f t="shared" si="7"/>
        <v>2859.7003299236571</v>
      </c>
      <c r="AG35" s="9">
        <v>2732.0609799000003</v>
      </c>
    </row>
    <row r="36" spans="2:33" x14ac:dyDescent="0.35">
      <c r="B36" s="7" t="s">
        <v>160</v>
      </c>
      <c r="C36" s="97">
        <f>RoE!F17</f>
        <v>53.896012482524711</v>
      </c>
      <c r="D36" s="97">
        <f>RoE!G17</f>
        <v>56.19327050108275</v>
      </c>
      <c r="E36" s="97">
        <f>RoE!H17</f>
        <v>55.238570742611017</v>
      </c>
      <c r="F36" s="97">
        <f>IoL!R17</f>
        <v>113.41919823939962</v>
      </c>
      <c r="G36" s="97">
        <f>IoL!U17</f>
        <v>123.28293253224582</v>
      </c>
      <c r="H36" s="97">
        <f>IoL!X17</f>
        <v>123.27909851983954</v>
      </c>
      <c r="I36" s="97">
        <f>'Depreciation (Summary)'!F17</f>
        <v>93.498764283738112</v>
      </c>
      <c r="J36" s="97">
        <f>'Depreciation (Summary)'!G17</f>
        <v>93.880787371893092</v>
      </c>
      <c r="K36" s="97">
        <f>'Depreciation (Summary)'!H17</f>
        <v>93.878285368072113</v>
      </c>
      <c r="L36" s="97">
        <f>'O&amp;M (Summary)'!G36</f>
        <v>108.63245899603818</v>
      </c>
      <c r="M36" s="97">
        <f>'O&amp;M (Summary)'!S36</f>
        <v>90.027901061049064</v>
      </c>
      <c r="N36" s="97">
        <f>'O&amp;M (Summary)'!Y36</f>
        <v>90.027901061049064</v>
      </c>
      <c r="O36" s="97">
        <f>IoWC!F17</f>
        <v>22.72605168406449</v>
      </c>
      <c r="P36" s="97">
        <f>IoWC!G17</f>
        <v>15.868291194051737</v>
      </c>
      <c r="Q36" s="97">
        <f>IoWC!H17</f>
        <v>14.068808970917052</v>
      </c>
      <c r="R36" s="97">
        <v>1.08</v>
      </c>
      <c r="S36" s="97">
        <v>0.76859337483524126</v>
      </c>
      <c r="T36" s="97">
        <f t="shared" si="8"/>
        <v>0.76859337483524126</v>
      </c>
      <c r="U36" s="98">
        <f t="shared" si="9"/>
        <v>391.0924856857651</v>
      </c>
      <c r="V36" s="98">
        <f t="shared" si="6"/>
        <v>378.48458928548723</v>
      </c>
      <c r="W36" s="98">
        <f t="shared" si="6"/>
        <v>375.7240712876536</v>
      </c>
      <c r="X36" s="98"/>
      <c r="Y36" s="98"/>
      <c r="Z36" s="98"/>
      <c r="AA36" s="97">
        <f>EC!AP35</f>
        <v>565.77970226228786</v>
      </c>
      <c r="AB36" s="97">
        <f>EC!AQ35</f>
        <v>310.91931904624477</v>
      </c>
      <c r="AC36" s="97">
        <f>EC!AR35</f>
        <v>315.37107278467442</v>
      </c>
      <c r="AD36" s="98">
        <f t="shared" si="10"/>
        <v>956.8721879480529</v>
      </c>
      <c r="AE36" s="98">
        <f t="shared" si="7"/>
        <v>689.40390833173205</v>
      </c>
      <c r="AF36" s="98">
        <f t="shared" si="7"/>
        <v>691.09514407232803</v>
      </c>
      <c r="AG36" s="9">
        <v>703.15</v>
      </c>
    </row>
    <row r="37" spans="2:33" x14ac:dyDescent="0.35">
      <c r="B37" s="7" t="s">
        <v>161</v>
      </c>
      <c r="C37" s="97">
        <f>RoE!F18</f>
        <v>5.4227834478924066</v>
      </c>
      <c r="D37" s="97">
        <f>RoE!G18</f>
        <v>4.1476898092439889</v>
      </c>
      <c r="E37" s="97">
        <f>RoE!H18</f>
        <v>4.1465689870589886</v>
      </c>
      <c r="F37" s="97">
        <f>IoL!R18</f>
        <v>6.0210822118020291</v>
      </c>
      <c r="G37" s="97">
        <f>IoL!U18</f>
        <v>2.2828718287272212</v>
      </c>
      <c r="H37" s="97">
        <f>IoL!X18</f>
        <v>2.1715858774547572</v>
      </c>
      <c r="I37" s="97">
        <f>'Depreciation (Summary)'!F18</f>
        <v>15.639380246289765</v>
      </c>
      <c r="J37" s="97">
        <f>'Depreciation (Summary)'!G18</f>
        <v>33.601601454323145</v>
      </c>
      <c r="K37" s="97">
        <f>'Depreciation (Summary)'!H18</f>
        <v>35.101921371528974</v>
      </c>
      <c r="L37" s="97">
        <f>'O&amp;M (Summary)'!G37</f>
        <v>242.18154871177228</v>
      </c>
      <c r="M37" s="97">
        <f>'O&amp;M (Summary)'!S37</f>
        <v>219.25969606608425</v>
      </c>
      <c r="N37" s="97">
        <f>'O&amp;M (Summary)'!Y37</f>
        <v>234.07637147868576</v>
      </c>
      <c r="O37" s="97">
        <f>IoWC!F18</f>
        <v>12.135493169933534</v>
      </c>
      <c r="P37" s="97">
        <f>IoWC!G18</f>
        <v>11.291811275410355</v>
      </c>
      <c r="Q37" s="97">
        <f>IoWC!H18</f>
        <v>10.821134268283966</v>
      </c>
      <c r="R37" s="97">
        <v>4.76</v>
      </c>
      <c r="S37" s="97">
        <v>3.7760182100000002</v>
      </c>
      <c r="T37" s="97">
        <f t="shared" si="8"/>
        <v>3.7760182100000002</v>
      </c>
      <c r="U37" s="98">
        <f t="shared" si="9"/>
        <v>276.64028778769</v>
      </c>
      <c r="V37" s="98">
        <f t="shared" si="6"/>
        <v>266.80765222378892</v>
      </c>
      <c r="W37" s="98">
        <f t="shared" si="6"/>
        <v>282.5415637730124</v>
      </c>
      <c r="X37" s="97">
        <v>566.04999999999995</v>
      </c>
      <c r="Y37" s="97">
        <v>566.04658331923338</v>
      </c>
      <c r="Z37" s="97">
        <f>X37</f>
        <v>566.04999999999995</v>
      </c>
      <c r="AA37" s="97"/>
      <c r="AB37" s="97"/>
      <c r="AC37" s="97"/>
      <c r="AD37" s="98">
        <f t="shared" si="10"/>
        <v>842.69028778768995</v>
      </c>
      <c r="AE37" s="98">
        <f t="shared" si="7"/>
        <v>832.85423554302224</v>
      </c>
      <c r="AF37" s="98">
        <f t="shared" si="7"/>
        <v>848.59156377301235</v>
      </c>
      <c r="AG37" s="9">
        <v>843.78400000000011</v>
      </c>
    </row>
    <row r="38" spans="2:33" x14ac:dyDescent="0.35">
      <c r="B38" s="12" t="s">
        <v>27</v>
      </c>
      <c r="C38" s="98">
        <f>SUM(C24:C37)</f>
        <v>1540.1546588560664</v>
      </c>
      <c r="D38" s="98">
        <f>SUM(D24:D37)</f>
        <v>1600.6207565043619</v>
      </c>
      <c r="E38" s="98">
        <f t="shared" ref="E38:AG38" si="11">SUM(E24:E37)</f>
        <v>1566.9719019007459</v>
      </c>
      <c r="F38" s="98">
        <f t="shared" si="11"/>
        <v>1703.3561411313615</v>
      </c>
      <c r="G38" s="98">
        <f t="shared" si="11"/>
        <v>1797.8854929380423</v>
      </c>
      <c r="H38" s="98">
        <f t="shared" si="11"/>
        <v>1792.2875415013964</v>
      </c>
      <c r="I38" s="98">
        <f t="shared" si="11"/>
        <v>2087.2422373665422</v>
      </c>
      <c r="J38" s="98">
        <f t="shared" si="11"/>
        <v>2126.7367468992679</v>
      </c>
      <c r="K38" s="98">
        <f t="shared" si="11"/>
        <v>2111.7081674804454</v>
      </c>
      <c r="L38" s="98">
        <f t="shared" si="11"/>
        <v>3738.6808979434322</v>
      </c>
      <c r="M38" s="98">
        <f t="shared" si="11"/>
        <v>3409.7552920434136</v>
      </c>
      <c r="N38" s="98">
        <f t="shared" si="11"/>
        <v>3477.3934167165226</v>
      </c>
      <c r="O38" s="98">
        <f t="shared" si="11"/>
        <v>650.69906717670517</v>
      </c>
      <c r="P38" s="98">
        <f t="shared" si="11"/>
        <v>518.86802652233655</v>
      </c>
      <c r="Q38" s="98">
        <f t="shared" si="11"/>
        <v>445.17211731163547</v>
      </c>
      <c r="R38" s="98">
        <f t="shared" si="11"/>
        <v>99.12</v>
      </c>
      <c r="S38" s="98">
        <f t="shared" si="11"/>
        <v>52.149732766</v>
      </c>
      <c r="T38" s="98">
        <f t="shared" si="11"/>
        <v>52.149732766</v>
      </c>
      <c r="U38" s="98">
        <f t="shared" si="11"/>
        <v>9621.0130024741065</v>
      </c>
      <c r="V38" s="98">
        <f t="shared" si="11"/>
        <v>9401.7165821414237</v>
      </c>
      <c r="W38" s="98">
        <f t="shared" si="11"/>
        <v>9341.3834121447453</v>
      </c>
      <c r="X38" s="98">
        <f t="shared" si="11"/>
        <v>566.04999999999995</v>
      </c>
      <c r="Y38" s="98">
        <f t="shared" si="11"/>
        <v>566.04658331923338</v>
      </c>
      <c r="Z38" s="98">
        <f t="shared" si="11"/>
        <v>566.04999999999995</v>
      </c>
      <c r="AA38" s="98">
        <f t="shared" si="11"/>
        <v>16635.437796626418</v>
      </c>
      <c r="AB38" s="98">
        <f t="shared" si="11"/>
        <v>12409.011004552956</v>
      </c>
      <c r="AC38" s="98">
        <f t="shared" si="11"/>
        <v>11908.33737888918</v>
      </c>
      <c r="AD38" s="98">
        <f t="shared" si="11"/>
        <v>26822.500799100526</v>
      </c>
      <c r="AE38" s="98">
        <f t="shared" si="11"/>
        <v>22376.774170013614</v>
      </c>
      <c r="AF38" s="98">
        <f t="shared" si="11"/>
        <v>21815.770791033934</v>
      </c>
      <c r="AG38" s="98">
        <f t="shared" si="11"/>
        <v>20093.398742000001</v>
      </c>
    </row>
    <row r="40" spans="2:33" x14ac:dyDescent="0.35">
      <c r="B40" s="3" t="s">
        <v>33</v>
      </c>
      <c r="AF40" s="3" t="s">
        <v>164</v>
      </c>
    </row>
    <row r="41" spans="2:33" ht="15.75" customHeight="1" x14ac:dyDescent="0.35">
      <c r="B41" s="187" t="s">
        <v>170</v>
      </c>
      <c r="C41" s="178" t="s">
        <v>196</v>
      </c>
      <c r="D41" s="196"/>
      <c r="E41" s="179"/>
      <c r="F41" s="178" t="s">
        <v>48</v>
      </c>
      <c r="G41" s="196"/>
      <c r="H41" s="179"/>
      <c r="I41" s="178" t="s">
        <v>24</v>
      </c>
      <c r="J41" s="196"/>
      <c r="K41" s="179"/>
      <c r="L41" s="178" t="s">
        <v>243</v>
      </c>
      <c r="M41" s="196"/>
      <c r="N41" s="179"/>
      <c r="O41" s="178" t="s">
        <v>26</v>
      </c>
      <c r="P41" s="196"/>
      <c r="Q41" s="179"/>
      <c r="R41" s="178" t="s">
        <v>366</v>
      </c>
      <c r="S41" s="196"/>
      <c r="T41" s="179"/>
      <c r="U41" s="178" t="s">
        <v>367</v>
      </c>
      <c r="V41" s="196"/>
      <c r="W41" s="179"/>
      <c r="X41" s="178" t="s">
        <v>368</v>
      </c>
      <c r="Y41" s="196"/>
      <c r="Z41" s="179"/>
      <c r="AA41" s="178" t="s">
        <v>369</v>
      </c>
      <c r="AB41" s="196"/>
      <c r="AC41" s="179"/>
      <c r="AD41" s="178" t="s">
        <v>370</v>
      </c>
      <c r="AE41" s="196"/>
      <c r="AF41" s="179"/>
      <c r="AG41" s="192" t="s">
        <v>371</v>
      </c>
    </row>
    <row r="42" spans="2:33" ht="30" x14ac:dyDescent="0.35">
      <c r="B42" s="187"/>
      <c r="C42" s="96" t="s">
        <v>172</v>
      </c>
      <c r="D42" s="6" t="s">
        <v>131</v>
      </c>
      <c r="E42" s="6" t="s">
        <v>372</v>
      </c>
      <c r="F42" s="96" t="s">
        <v>172</v>
      </c>
      <c r="G42" s="6" t="s">
        <v>131</v>
      </c>
      <c r="H42" s="6" t="s">
        <v>372</v>
      </c>
      <c r="I42" s="96" t="s">
        <v>172</v>
      </c>
      <c r="J42" s="6" t="s">
        <v>131</v>
      </c>
      <c r="K42" s="6" t="s">
        <v>372</v>
      </c>
      <c r="L42" s="96" t="s">
        <v>172</v>
      </c>
      <c r="M42" s="6" t="s">
        <v>131</v>
      </c>
      <c r="N42" s="6" t="s">
        <v>372</v>
      </c>
      <c r="O42" s="96" t="s">
        <v>172</v>
      </c>
      <c r="P42" s="6" t="s">
        <v>131</v>
      </c>
      <c r="Q42" s="6" t="s">
        <v>372</v>
      </c>
      <c r="R42" s="96" t="s">
        <v>172</v>
      </c>
      <c r="S42" s="6" t="s">
        <v>131</v>
      </c>
      <c r="T42" s="6" t="s">
        <v>372</v>
      </c>
      <c r="U42" s="96" t="s">
        <v>172</v>
      </c>
      <c r="V42" s="6" t="s">
        <v>131</v>
      </c>
      <c r="W42" s="6" t="s">
        <v>372</v>
      </c>
      <c r="X42" s="96" t="s">
        <v>172</v>
      </c>
      <c r="Y42" s="6" t="s">
        <v>131</v>
      </c>
      <c r="Z42" s="6" t="s">
        <v>372</v>
      </c>
      <c r="AA42" s="96" t="s">
        <v>172</v>
      </c>
      <c r="AB42" s="6" t="s">
        <v>131</v>
      </c>
      <c r="AC42" s="6" t="s">
        <v>372</v>
      </c>
      <c r="AD42" s="96" t="s">
        <v>172</v>
      </c>
      <c r="AE42" s="6" t="s">
        <v>131</v>
      </c>
      <c r="AF42" s="6" t="s">
        <v>372</v>
      </c>
      <c r="AG42" s="192"/>
    </row>
    <row r="43" spans="2:33" x14ac:dyDescent="0.35">
      <c r="B43" s="7" t="s">
        <v>43</v>
      </c>
      <c r="C43" s="97">
        <f>RoE!I5</f>
        <v>13.684077658341387</v>
      </c>
      <c r="D43" s="97">
        <f>RoE!J5</f>
        <v>13.606149038797318</v>
      </c>
      <c r="E43" s="97">
        <f>RoE!K5</f>
        <v>13.367274304654611</v>
      </c>
      <c r="F43" s="97">
        <f>IoL!AE5</f>
        <v>0.43443909104356321</v>
      </c>
      <c r="G43" s="97">
        <f>IoL!AH5</f>
        <v>0.41072801487395366</v>
      </c>
      <c r="H43" s="97">
        <f>IoL!AK5</f>
        <v>0.51682705870646606</v>
      </c>
      <c r="I43" s="97">
        <f>'Depreciation (Summary)'!I5</f>
        <v>8.5921193122766581</v>
      </c>
      <c r="J43" s="97">
        <f>'Depreciation (Summary)'!J5</f>
        <v>11.092146670212243</v>
      </c>
      <c r="K43" s="97">
        <f>'Depreciation (Summary)'!K5</f>
        <v>9.1032271268061731</v>
      </c>
      <c r="L43" s="97">
        <f>'O&amp;M (Summary)'!G43</f>
        <v>115.27865686621338</v>
      </c>
      <c r="M43" s="97">
        <f>'O&amp;M (Summary)'!S43</f>
        <v>106.91550718907696</v>
      </c>
      <c r="N43" s="97">
        <f>'O&amp;M (Summary)'!Y43</f>
        <v>115.34482455177348</v>
      </c>
      <c r="O43" s="97">
        <f>IoWC!I5</f>
        <v>15.621840073469828</v>
      </c>
      <c r="P43" s="97">
        <f>IoWC!J5</f>
        <v>7.0259480630174522</v>
      </c>
      <c r="Q43" s="97">
        <f>IoWC!K5</f>
        <v>6.7031608883095979</v>
      </c>
      <c r="R43" s="97">
        <v>2.73</v>
      </c>
      <c r="S43" s="97">
        <v>1.7770808210402742</v>
      </c>
      <c r="T43" s="97">
        <f>S43</f>
        <v>1.7770808210402742</v>
      </c>
      <c r="U43" s="98">
        <f>C43+F43+I43+L43+O43-R43</f>
        <v>150.88113300134484</v>
      </c>
      <c r="V43" s="98">
        <f t="shared" ref="V43:W56" si="12">D43+G43+J43+M43+P43-S43</f>
        <v>137.27339815493764</v>
      </c>
      <c r="W43" s="98">
        <f t="shared" si="12"/>
        <v>143.25823310921007</v>
      </c>
      <c r="X43" s="98"/>
      <c r="Y43" s="98"/>
      <c r="Z43" s="98"/>
      <c r="AA43" s="97">
        <f>EC!AP41</f>
        <v>460.45165183461802</v>
      </c>
      <c r="AB43" s="97">
        <v>177.01233052237654</v>
      </c>
      <c r="AC43" s="97">
        <f>EC!AR41</f>
        <v>177.01233052237654</v>
      </c>
      <c r="AD43" s="98">
        <f>U43+X43+AA43</f>
        <v>611.33278483596291</v>
      </c>
      <c r="AE43" s="98">
        <f t="shared" ref="AE43:AF56" si="13">V43+Y43+AB43</f>
        <v>314.28572867731418</v>
      </c>
      <c r="AF43" s="98">
        <f t="shared" si="13"/>
        <v>320.27056363158658</v>
      </c>
      <c r="AG43" s="9">
        <v>288.01499999999999</v>
      </c>
    </row>
    <row r="44" spans="2:33" x14ac:dyDescent="0.35">
      <c r="B44" s="7" t="s">
        <v>150</v>
      </c>
      <c r="C44" s="97">
        <f>RoE!I6</f>
        <v>121.45064176365554</v>
      </c>
      <c r="D44" s="97">
        <f>RoE!J6</f>
        <v>122.80715424116624</v>
      </c>
      <c r="E44" s="97">
        <f>RoE!K6</f>
        <v>119.96408623229503</v>
      </c>
      <c r="F44" s="97">
        <f>IoL!AE6</f>
        <v>52.440919841208867</v>
      </c>
      <c r="G44" s="97">
        <f>IoL!AH6</f>
        <v>49.437750466547946</v>
      </c>
      <c r="H44" s="97">
        <f>IoL!AK6</f>
        <v>48.439181240217302</v>
      </c>
      <c r="I44" s="97">
        <f>'Depreciation (Summary)'!I6</f>
        <v>53.389204214208107</v>
      </c>
      <c r="J44" s="97">
        <f>'Depreciation (Summary)'!J6</f>
        <v>70.966258244664886</v>
      </c>
      <c r="K44" s="97">
        <f>'Depreciation (Summary)'!K6</f>
        <v>67.871059522425767</v>
      </c>
      <c r="L44" s="97">
        <f>'O&amp;M (Summary)'!G44</f>
        <v>685.49398228244559</v>
      </c>
      <c r="M44" s="97">
        <f>'O&amp;M (Summary)'!S44</f>
        <v>632.69868071264523</v>
      </c>
      <c r="N44" s="97">
        <f>'O&amp;M (Summary)'!Y44</f>
        <v>660.74700428579786</v>
      </c>
      <c r="O44" s="97">
        <f>IoWC!I6</f>
        <v>94.585657349915664</v>
      </c>
      <c r="P44" s="97">
        <f>IoWC!J6</f>
        <v>76.73428581346738</v>
      </c>
      <c r="Q44" s="97">
        <f>IoWC!K6</f>
        <v>71.816548375090676</v>
      </c>
      <c r="R44" s="97">
        <v>19.600000000000001</v>
      </c>
      <c r="S44" s="97">
        <v>6.381133915946541</v>
      </c>
      <c r="T44" s="97">
        <f t="shared" ref="T44:T56" si="14">S44</f>
        <v>6.381133915946541</v>
      </c>
      <c r="U44" s="98">
        <f t="shared" ref="U44:U56" si="15">C44+F44+I44+L44+O44-R44</f>
        <v>987.76040545143371</v>
      </c>
      <c r="V44" s="98">
        <f t="shared" si="12"/>
        <v>946.26299556254514</v>
      </c>
      <c r="W44" s="98">
        <f t="shared" si="12"/>
        <v>962.45674573988003</v>
      </c>
      <c r="X44" s="98"/>
      <c r="Y44" s="98"/>
      <c r="Z44" s="98"/>
      <c r="AA44" s="97">
        <f>EC!AP42</f>
        <v>2721.016114830772</v>
      </c>
      <c r="AB44" s="97">
        <v>2387.7452839446946</v>
      </c>
      <c r="AC44" s="97">
        <f>EC!AR42</f>
        <v>2387.7452839446946</v>
      </c>
      <c r="AD44" s="98">
        <f t="shared" ref="AD44:AD56" si="16">U44+X44+AA44</f>
        <v>3708.7765202822056</v>
      </c>
      <c r="AE44" s="98">
        <f t="shared" si="13"/>
        <v>3334.0082795072399</v>
      </c>
      <c r="AF44" s="98">
        <f t="shared" si="13"/>
        <v>3350.2020296845749</v>
      </c>
      <c r="AG44" s="9">
        <v>2910.4870000000001</v>
      </c>
    </row>
    <row r="45" spans="2:33" x14ac:dyDescent="0.35">
      <c r="B45" s="7" t="s">
        <v>151</v>
      </c>
      <c r="C45" s="97">
        <f>RoE!I7</f>
        <v>148.89873521357683</v>
      </c>
      <c r="D45" s="97">
        <f>RoE!J7</f>
        <v>141.65184402581727</v>
      </c>
      <c r="E45" s="97">
        <f>RoE!K7</f>
        <v>137.3514940562778</v>
      </c>
      <c r="F45" s="97">
        <f>IoL!AE7</f>
        <v>22.432903485308422</v>
      </c>
      <c r="G45" s="97">
        <f>IoL!AH7</f>
        <v>5.3854950776601846</v>
      </c>
      <c r="H45" s="97">
        <f>IoL!AK7</f>
        <v>5.4007814673112264</v>
      </c>
      <c r="I45" s="97">
        <f>'Depreciation (Summary)'!I7</f>
        <v>39.811316456721691</v>
      </c>
      <c r="J45" s="97">
        <f>'Depreciation (Summary)'!J7</f>
        <v>23.785149759123733</v>
      </c>
      <c r="K45" s="97">
        <f>'Depreciation (Summary)'!K7</f>
        <v>23.645186760020508</v>
      </c>
      <c r="L45" s="97">
        <f>'O&amp;M (Summary)'!G45</f>
        <v>319.64455974691538</v>
      </c>
      <c r="M45" s="97">
        <f>'O&amp;M (Summary)'!S45</f>
        <v>356.79492683614859</v>
      </c>
      <c r="N45" s="97">
        <f>'O&amp;M (Summary)'!Y45</f>
        <v>372.7660001064977</v>
      </c>
      <c r="O45" s="97">
        <f>IoWC!I7</f>
        <v>46.747419202396173</v>
      </c>
      <c r="P45" s="97">
        <f>IoWC!J7</f>
        <v>35.35149900087724</v>
      </c>
      <c r="Q45" s="97">
        <f>IoWC!K7</f>
        <v>33.465629789821719</v>
      </c>
      <c r="R45" s="97">
        <v>5.16</v>
      </c>
      <c r="S45" s="97">
        <v>13.273777894280157</v>
      </c>
      <c r="T45" s="97">
        <f t="shared" si="14"/>
        <v>13.273777894280157</v>
      </c>
      <c r="U45" s="98">
        <f t="shared" si="15"/>
        <v>572.37493410491857</v>
      </c>
      <c r="V45" s="98">
        <f t="shared" si="12"/>
        <v>549.69513680534681</v>
      </c>
      <c r="W45" s="98">
        <f t="shared" si="12"/>
        <v>559.35531428564889</v>
      </c>
      <c r="X45" s="98"/>
      <c r="Y45" s="98"/>
      <c r="Z45" s="98"/>
      <c r="AA45" s="97">
        <f>EC!AP43</f>
        <v>1284.7312956508454</v>
      </c>
      <c r="AB45" s="97">
        <v>996.39140223789548</v>
      </c>
      <c r="AC45" s="97">
        <f>EC!AR43</f>
        <v>996.39140223789548</v>
      </c>
      <c r="AD45" s="98">
        <f t="shared" si="16"/>
        <v>1857.1062297557639</v>
      </c>
      <c r="AE45" s="98">
        <f t="shared" si="13"/>
        <v>1546.0865390432423</v>
      </c>
      <c r="AF45" s="98">
        <f t="shared" si="13"/>
        <v>1555.7467165235444</v>
      </c>
      <c r="AG45" s="9">
        <v>1402.194</v>
      </c>
    </row>
    <row r="46" spans="2:33" x14ac:dyDescent="0.35">
      <c r="B46" s="7" t="s">
        <v>44</v>
      </c>
      <c r="C46" s="97">
        <f>RoE!I8</f>
        <v>44.25217858300725</v>
      </c>
      <c r="D46" s="97">
        <f>RoE!J8</f>
        <v>38.732912586395088</v>
      </c>
      <c r="E46" s="97">
        <f>RoE!K8</f>
        <v>37.839129653203635</v>
      </c>
      <c r="F46" s="97">
        <f>IoL!AE8</f>
        <v>14.857481851223376</v>
      </c>
      <c r="G46" s="97">
        <f>IoL!AH8</f>
        <v>18.694965473629043</v>
      </c>
      <c r="H46" s="97">
        <f>IoL!AK8</f>
        <v>19.482001894424304</v>
      </c>
      <c r="I46" s="97">
        <f>'Depreciation (Summary)'!I8</f>
        <v>72.196329063885102</v>
      </c>
      <c r="J46" s="97">
        <f>'Depreciation (Summary)'!J8</f>
        <v>34.921568728083102</v>
      </c>
      <c r="K46" s="97">
        <f>'Depreciation (Summary)'!K8</f>
        <v>34.540360558477786</v>
      </c>
      <c r="L46" s="97">
        <f>'O&amp;M (Summary)'!G46</f>
        <v>222.47824749362812</v>
      </c>
      <c r="M46" s="97">
        <f>'O&amp;M (Summary)'!S46</f>
        <v>246.27981766941389</v>
      </c>
      <c r="N46" s="97">
        <f>'O&amp;M (Summary)'!Y46</f>
        <v>233.29024996099258</v>
      </c>
      <c r="O46" s="97">
        <f>IoWC!I8</f>
        <v>17.649308921656687</v>
      </c>
      <c r="P46" s="97">
        <f>IoWC!J8</f>
        <v>10.730182187971861</v>
      </c>
      <c r="Q46" s="97">
        <f>IoWC!K8</f>
        <v>11.557512215585792</v>
      </c>
      <c r="R46" s="97">
        <v>1.6</v>
      </c>
      <c r="S46" s="97">
        <v>63.011598528001883</v>
      </c>
      <c r="T46" s="97">
        <f t="shared" si="14"/>
        <v>63.011598528001883</v>
      </c>
      <c r="U46" s="98">
        <f t="shared" si="15"/>
        <v>369.83354591340054</v>
      </c>
      <c r="V46" s="98">
        <f t="shared" si="12"/>
        <v>286.34784811749114</v>
      </c>
      <c r="W46" s="98">
        <f t="shared" si="12"/>
        <v>273.69765575468227</v>
      </c>
      <c r="X46" s="98"/>
      <c r="Y46" s="98"/>
      <c r="Z46" s="98"/>
      <c r="AA46" s="97">
        <f>EC!AP44</f>
        <v>376.91774727264232</v>
      </c>
      <c r="AB46" s="97">
        <v>257.8911033565027</v>
      </c>
      <c r="AC46" s="97">
        <f>EC!AR44</f>
        <v>257.8911033565027</v>
      </c>
      <c r="AD46" s="98">
        <f t="shared" si="16"/>
        <v>746.75129318604286</v>
      </c>
      <c r="AE46" s="98">
        <f t="shared" si="13"/>
        <v>544.23895147399389</v>
      </c>
      <c r="AF46" s="98">
        <f t="shared" si="13"/>
        <v>531.58875911118503</v>
      </c>
      <c r="AG46" s="9">
        <v>487.80099999999999</v>
      </c>
    </row>
    <row r="47" spans="2:33" x14ac:dyDescent="0.35">
      <c r="B47" s="7" t="s">
        <v>152</v>
      </c>
      <c r="C47" s="97">
        <f>RoE!I9</f>
        <v>37.254212768139524</v>
      </c>
      <c r="D47" s="97">
        <f>RoE!J9</f>
        <v>37.506553889537528</v>
      </c>
      <c r="E47" s="97">
        <f>RoE!K9</f>
        <v>36.611907051805353</v>
      </c>
      <c r="F47" s="97">
        <f>IoL!AE9</f>
        <v>1.3189993922406416</v>
      </c>
      <c r="G47" s="97">
        <f>IoL!AH9</f>
        <v>3.9167701875227237</v>
      </c>
      <c r="H47" s="97">
        <f>IoL!AK9</f>
        <v>5.1182855146689077</v>
      </c>
      <c r="I47" s="97">
        <f>'Depreciation (Summary)'!I9</f>
        <v>22.748279363315952</v>
      </c>
      <c r="J47" s="97">
        <f>'Depreciation (Summary)'!J9</f>
        <v>17.266521016852881</v>
      </c>
      <c r="K47" s="97">
        <f>'Depreciation (Summary)'!K9</f>
        <v>8.7525865029106988</v>
      </c>
      <c r="L47" s="97">
        <f>'O&amp;M (Summary)'!G47</f>
        <v>377.614351522937</v>
      </c>
      <c r="M47" s="97">
        <f>'O&amp;M (Summary)'!S47</f>
        <v>326.45916389713403</v>
      </c>
      <c r="N47" s="97">
        <f>'O&amp;M (Summary)'!Y47</f>
        <v>322.71618280554577</v>
      </c>
      <c r="O47" s="97">
        <f>IoWC!I9</f>
        <v>46.528938539896529</v>
      </c>
      <c r="P47" s="97">
        <f>IoWC!J9</f>
        <v>24.303547540711889</v>
      </c>
      <c r="Q47" s="97">
        <f>IoWC!K9</f>
        <v>25.316095895933572</v>
      </c>
      <c r="R47" s="97">
        <v>12.54</v>
      </c>
      <c r="S47" s="97">
        <v>4.7391989647996677</v>
      </c>
      <c r="T47" s="97">
        <f t="shared" si="14"/>
        <v>4.7391989647996677</v>
      </c>
      <c r="U47" s="98">
        <f t="shared" si="15"/>
        <v>472.9247815865296</v>
      </c>
      <c r="V47" s="98">
        <f t="shared" si="12"/>
        <v>404.71335756695936</v>
      </c>
      <c r="W47" s="98">
        <f t="shared" si="12"/>
        <v>393.77585880606466</v>
      </c>
      <c r="X47" s="98"/>
      <c r="Y47" s="98"/>
      <c r="Z47" s="98"/>
      <c r="AA47" s="97">
        <f>EC!AP45</f>
        <v>1371.4285842791082</v>
      </c>
      <c r="AB47" s="97">
        <v>729.86948204121916</v>
      </c>
      <c r="AC47" s="97">
        <f>EC!AR45</f>
        <v>729.86948204121916</v>
      </c>
      <c r="AD47" s="98">
        <f t="shared" si="16"/>
        <v>1844.3533658656379</v>
      </c>
      <c r="AE47" s="98">
        <f t="shared" si="13"/>
        <v>1134.5828396081786</v>
      </c>
      <c r="AF47" s="98">
        <f t="shared" si="13"/>
        <v>1123.6453408472839</v>
      </c>
      <c r="AG47" s="9">
        <v>1160.2929999999999</v>
      </c>
    </row>
    <row r="48" spans="2:33" x14ac:dyDescent="0.35">
      <c r="B48" s="7" t="s">
        <v>154</v>
      </c>
      <c r="C48" s="97">
        <f>RoE!I10</f>
        <v>45.137787917846886</v>
      </c>
      <c r="D48" s="97">
        <f>RoE!J10</f>
        <v>42.391934410118033</v>
      </c>
      <c r="E48" s="97">
        <f>RoE!K10</f>
        <v>43.13558703030796</v>
      </c>
      <c r="F48" s="97">
        <f>IoL!AE10</f>
        <v>12.283727336022546</v>
      </c>
      <c r="G48" s="97">
        <f>IoL!AH10</f>
        <v>10.190916577826227</v>
      </c>
      <c r="H48" s="97">
        <f>IoL!AK10</f>
        <v>10.02197869047072</v>
      </c>
      <c r="I48" s="97">
        <f>'Depreciation (Summary)'!I10</f>
        <v>25.203120431397178</v>
      </c>
      <c r="J48" s="97">
        <f>'Depreciation (Summary)'!J10</f>
        <v>4.1521303428564877</v>
      </c>
      <c r="K48" s="97">
        <f>'Depreciation (Summary)'!K10</f>
        <v>5.197749510484968</v>
      </c>
      <c r="L48" s="97">
        <f>'O&amp;M (Summary)'!G48</f>
        <v>90.370393775229573</v>
      </c>
      <c r="M48" s="97">
        <f>'O&amp;M (Summary)'!S48</f>
        <v>86.579722044418745</v>
      </c>
      <c r="N48" s="97">
        <f>'O&amp;M (Summary)'!Y48</f>
        <v>95.4818826391882</v>
      </c>
      <c r="O48" s="97">
        <f>IoWC!I10</f>
        <v>26.454710988654853</v>
      </c>
      <c r="P48" s="97">
        <f>IoWC!J10</f>
        <v>14.059372335061774</v>
      </c>
      <c r="Q48" s="97">
        <f>IoWC!K10</f>
        <v>11.882176085524211</v>
      </c>
      <c r="R48" s="97">
        <v>2.38</v>
      </c>
      <c r="S48" s="97">
        <v>1.1387896891196454</v>
      </c>
      <c r="T48" s="97">
        <f t="shared" si="14"/>
        <v>1.1387896891196454</v>
      </c>
      <c r="U48" s="98">
        <f t="shared" si="15"/>
        <v>197.06974044915106</v>
      </c>
      <c r="V48" s="98">
        <f t="shared" si="12"/>
        <v>156.23528602116161</v>
      </c>
      <c r="W48" s="98">
        <f t="shared" si="12"/>
        <v>164.58058426685642</v>
      </c>
      <c r="X48" s="98"/>
      <c r="Y48" s="98"/>
      <c r="Z48" s="98"/>
      <c r="AA48" s="97">
        <f>EC!AP46</f>
        <v>801.01357433445446</v>
      </c>
      <c r="AB48" s="97">
        <v>340.40578893667441</v>
      </c>
      <c r="AC48" s="97">
        <f>EC!AR46</f>
        <v>340.40578893667441</v>
      </c>
      <c r="AD48" s="98">
        <f t="shared" si="16"/>
        <v>998.08331478360549</v>
      </c>
      <c r="AE48" s="98">
        <f t="shared" si="13"/>
        <v>496.64107495783605</v>
      </c>
      <c r="AF48" s="98">
        <f t="shared" si="13"/>
        <v>504.98637320353083</v>
      </c>
      <c r="AG48" s="9">
        <v>477.10700000000008</v>
      </c>
    </row>
    <row r="49" spans="2:33" x14ac:dyDescent="0.35">
      <c r="B49" s="7" t="s">
        <v>155</v>
      </c>
      <c r="C49" s="97">
        <f>RoE!I11</f>
        <v>134.64573770248288</v>
      </c>
      <c r="D49" s="97">
        <f>RoE!J11</f>
        <v>132.57798104377545</v>
      </c>
      <c r="E49" s="97">
        <f>RoE!K11</f>
        <v>130.03325228090037</v>
      </c>
      <c r="F49" s="97">
        <f>IoL!AE11</f>
        <v>38.795661708041841</v>
      </c>
      <c r="G49" s="97">
        <f>IoL!AH11</f>
        <v>34.471361778423407</v>
      </c>
      <c r="H49" s="97">
        <f>IoL!AK11</f>
        <v>34.158636679651629</v>
      </c>
      <c r="I49" s="97">
        <f>'Depreciation (Summary)'!I11</f>
        <v>166.36537770959876</v>
      </c>
      <c r="J49" s="97">
        <f>'Depreciation (Summary)'!J11</f>
        <v>82.749709895076165</v>
      </c>
      <c r="K49" s="97">
        <f>'Depreciation (Summary)'!K11</f>
        <v>82.415849037173615</v>
      </c>
      <c r="L49" s="97">
        <f>'O&amp;M (Summary)'!G49</f>
        <v>184.130977080078</v>
      </c>
      <c r="M49" s="97">
        <f>'O&amp;M (Summary)'!S49</f>
        <v>176.00645604367483</v>
      </c>
      <c r="N49" s="97">
        <f>'O&amp;M (Summary)'!Y49</f>
        <v>176.00645604367483</v>
      </c>
      <c r="O49" s="97">
        <f>IoWC!I11</f>
        <v>37.619101016059489</v>
      </c>
      <c r="P49" s="97">
        <f>IoWC!J11</f>
        <v>27.913084314053499</v>
      </c>
      <c r="Q49" s="97">
        <f>IoWC!K11</f>
        <v>27.725784094043014</v>
      </c>
      <c r="R49" s="97">
        <v>3.94</v>
      </c>
      <c r="S49" s="97">
        <v>4.1007608142854499</v>
      </c>
      <c r="T49" s="97">
        <f t="shared" si="14"/>
        <v>4.1007608142854499</v>
      </c>
      <c r="U49" s="98">
        <f t="shared" si="15"/>
        <v>557.61685521626089</v>
      </c>
      <c r="V49" s="98">
        <f t="shared" si="12"/>
        <v>449.61783226071793</v>
      </c>
      <c r="W49" s="98">
        <f t="shared" si="12"/>
        <v>446.23921732115804</v>
      </c>
      <c r="X49" s="98"/>
      <c r="Y49" s="98"/>
      <c r="Z49" s="98"/>
      <c r="AA49" s="97">
        <f>EC!AP47</f>
        <v>973.27257571917676</v>
      </c>
      <c r="AB49" s="97">
        <v>766.85722836342086</v>
      </c>
      <c r="AC49" s="97">
        <f>EC!AR47</f>
        <v>766.85722836342086</v>
      </c>
      <c r="AD49" s="98">
        <f t="shared" si="16"/>
        <v>1530.8894309354378</v>
      </c>
      <c r="AE49" s="98">
        <f t="shared" si="13"/>
        <v>1216.4750606241387</v>
      </c>
      <c r="AF49" s="98">
        <f t="shared" si="13"/>
        <v>1213.0964456845788</v>
      </c>
      <c r="AG49" s="9">
        <v>1242.559</v>
      </c>
    </row>
    <row r="50" spans="2:33" x14ac:dyDescent="0.35">
      <c r="B50" s="7" t="s">
        <v>156</v>
      </c>
      <c r="C50" s="97">
        <f>RoE!I12</f>
        <v>132.04585562971994</v>
      </c>
      <c r="D50" s="97">
        <f>RoE!J12</f>
        <v>133.97732166115145</v>
      </c>
      <c r="E50" s="97">
        <f>RoE!K12</f>
        <v>129.27483201698047</v>
      </c>
      <c r="F50" s="97">
        <f>IoL!AE12</f>
        <v>18.564027470164909</v>
      </c>
      <c r="G50" s="97">
        <f>IoL!AH12</f>
        <v>17.507904230788146</v>
      </c>
      <c r="H50" s="97">
        <f>IoL!AK12</f>
        <v>17.392397118407839</v>
      </c>
      <c r="I50" s="97">
        <f>'Depreciation (Summary)'!I12</f>
        <v>159.07187787680223</v>
      </c>
      <c r="J50" s="97">
        <f>'Depreciation (Summary)'!J12</f>
        <v>77.20132235070183</v>
      </c>
      <c r="K50" s="97">
        <f>'Depreciation (Summary)'!K12</f>
        <v>77.000807903872868</v>
      </c>
      <c r="L50" s="97">
        <f>'O&amp;M (Summary)'!G50</f>
        <v>188.43513613909471</v>
      </c>
      <c r="M50" s="97">
        <f>'O&amp;M (Summary)'!S50</f>
        <v>179.0360871876855</v>
      </c>
      <c r="N50" s="97">
        <f>'O&amp;M (Summary)'!Y50</f>
        <v>179.0360871876855</v>
      </c>
      <c r="O50" s="97">
        <f>IoWC!I12</f>
        <v>45.706752658387593</v>
      </c>
      <c r="P50" s="97">
        <f>IoWC!J12</f>
        <v>23.846829700532187</v>
      </c>
      <c r="Q50" s="97">
        <f>IoWC!K12</f>
        <v>23.426894196017642</v>
      </c>
      <c r="R50" s="97">
        <v>3.95</v>
      </c>
      <c r="S50" s="97">
        <v>3.9144664376187772</v>
      </c>
      <c r="T50" s="97">
        <f t="shared" si="14"/>
        <v>3.9144664376187772</v>
      </c>
      <c r="U50" s="98">
        <f t="shared" si="15"/>
        <v>539.87364977416939</v>
      </c>
      <c r="V50" s="98">
        <f t="shared" si="12"/>
        <v>427.65499869324032</v>
      </c>
      <c r="W50" s="98">
        <f t="shared" si="12"/>
        <v>422.21655198534552</v>
      </c>
      <c r="X50" s="98"/>
      <c r="Y50" s="98"/>
      <c r="Z50" s="98"/>
      <c r="AA50" s="97">
        <f>EC!AP48</f>
        <v>1288.2947911709739</v>
      </c>
      <c r="AB50" s="97">
        <v>615.62692735477515</v>
      </c>
      <c r="AC50" s="97">
        <f>EC!AR48</f>
        <v>615.62692735477515</v>
      </c>
      <c r="AD50" s="98">
        <f t="shared" si="16"/>
        <v>1828.1684409451432</v>
      </c>
      <c r="AE50" s="98">
        <f t="shared" si="13"/>
        <v>1043.2819260480155</v>
      </c>
      <c r="AF50" s="98">
        <f t="shared" si="13"/>
        <v>1037.8434793401207</v>
      </c>
      <c r="AG50" s="9">
        <v>1049.692</v>
      </c>
    </row>
    <row r="51" spans="2:33" x14ac:dyDescent="0.35">
      <c r="B51" s="7" t="s">
        <v>8</v>
      </c>
      <c r="C51" s="97">
        <f>RoE!I13</f>
        <v>107.865465552605</v>
      </c>
      <c r="D51" s="97">
        <f>RoE!J13</f>
        <v>103.61222140185188</v>
      </c>
      <c r="E51" s="97">
        <f>RoE!K13</f>
        <v>103.06497522843438</v>
      </c>
      <c r="F51" s="97">
        <f>IoL!AE13</f>
        <v>97.046583665665096</v>
      </c>
      <c r="G51" s="97">
        <f>IoL!AH13</f>
        <v>74.512215588001467</v>
      </c>
      <c r="H51" s="97">
        <f>IoL!AK13</f>
        <v>76.644511674694868</v>
      </c>
      <c r="I51" s="97">
        <f>'Depreciation (Summary)'!I13</f>
        <v>185.78389085143587</v>
      </c>
      <c r="J51" s="97">
        <f>'Depreciation (Summary)'!J13</f>
        <v>182.1188024868066</v>
      </c>
      <c r="K51" s="97">
        <f>'Depreciation (Summary)'!K13</f>
        <v>184.21278457364002</v>
      </c>
      <c r="L51" s="97">
        <f>'O&amp;M (Summary)'!G51</f>
        <v>132.6558603827979</v>
      </c>
      <c r="M51" s="97">
        <f>'O&amp;M (Summary)'!S51</f>
        <v>147.10715675174023</v>
      </c>
      <c r="N51" s="97">
        <f>'O&amp;M (Summary)'!Y51</f>
        <v>147.10715675174023</v>
      </c>
      <c r="O51" s="97">
        <f>IoWC!I13</f>
        <v>33.998694975665451</v>
      </c>
      <c r="P51" s="97">
        <f>IoWC!J13</f>
        <v>30.42575430978188</v>
      </c>
      <c r="Q51" s="97">
        <f>IoWC!K13</f>
        <v>30.437045975041901</v>
      </c>
      <c r="R51" s="97">
        <v>4.0999999999999996</v>
      </c>
      <c r="S51" s="97">
        <v>8.1352187124048534</v>
      </c>
      <c r="T51" s="97">
        <f t="shared" si="14"/>
        <v>8.1352187124048534</v>
      </c>
      <c r="U51" s="98">
        <f t="shared" si="15"/>
        <v>553.2504954281693</v>
      </c>
      <c r="V51" s="98">
        <f t="shared" si="12"/>
        <v>529.64093182577722</v>
      </c>
      <c r="W51" s="98">
        <f t="shared" si="12"/>
        <v>533.33125549114652</v>
      </c>
      <c r="X51" s="98"/>
      <c r="Y51" s="98"/>
      <c r="Z51" s="98"/>
      <c r="AA51" s="97">
        <f>EC!AP49</f>
        <v>844.75622460199133</v>
      </c>
      <c r="AB51" s="97">
        <v>827.26516486526964</v>
      </c>
      <c r="AC51" s="97">
        <f>EC!AR49</f>
        <v>827.26516486526964</v>
      </c>
      <c r="AD51" s="98">
        <f t="shared" si="16"/>
        <v>1398.0067200301605</v>
      </c>
      <c r="AE51" s="98">
        <f t="shared" si="13"/>
        <v>1356.906096691047</v>
      </c>
      <c r="AF51" s="98">
        <f t="shared" si="13"/>
        <v>1360.5964203564163</v>
      </c>
      <c r="AG51" s="9">
        <v>1413.4569999999999</v>
      </c>
    </row>
    <row r="52" spans="2:33" x14ac:dyDescent="0.35">
      <c r="B52" s="7" t="s">
        <v>157</v>
      </c>
      <c r="C52" s="97">
        <f>RoE!I14</f>
        <v>180.60998392683396</v>
      </c>
      <c r="D52" s="97">
        <f>RoE!J14</f>
        <v>185.94253490907624</v>
      </c>
      <c r="E52" s="97">
        <f>RoE!K14</f>
        <v>182.08618365104158</v>
      </c>
      <c r="F52" s="97">
        <f>IoL!AE14</f>
        <v>227.60810140136198</v>
      </c>
      <c r="G52" s="97">
        <f>IoL!AH14</f>
        <v>231.27234110536904</v>
      </c>
      <c r="H52" s="97">
        <f>IoL!AK14</f>
        <v>230.46031658637196</v>
      </c>
      <c r="I52" s="97">
        <f>'Depreciation (Summary)'!I14</f>
        <v>338.91305586265815</v>
      </c>
      <c r="J52" s="97">
        <f>'Depreciation (Summary)'!J14</f>
        <v>346.08574423752088</v>
      </c>
      <c r="K52" s="97">
        <f>'Depreciation (Summary)'!K14</f>
        <v>344.98847920740093</v>
      </c>
      <c r="L52" s="97">
        <f>'O&amp;M (Summary)'!G52</f>
        <v>276.97782519708505</v>
      </c>
      <c r="M52" s="97">
        <f>'O&amp;M (Summary)'!S52</f>
        <v>241.8012836312171</v>
      </c>
      <c r="N52" s="97">
        <f>'O&amp;M (Summary)'!Y52</f>
        <v>241.8012836312171</v>
      </c>
      <c r="O52" s="97">
        <f>IoWC!I14</f>
        <v>85.050103448170645</v>
      </c>
      <c r="P52" s="97">
        <f>IoWC!J14</f>
        <v>57.346834996177563</v>
      </c>
      <c r="Q52" s="97">
        <f>IoWC!K14</f>
        <v>55.674918181411009</v>
      </c>
      <c r="R52" s="97">
        <v>14.87</v>
      </c>
      <c r="S52" s="97">
        <v>7.7821512877304118</v>
      </c>
      <c r="T52" s="97">
        <f t="shared" si="14"/>
        <v>7.7821512877304118</v>
      </c>
      <c r="U52" s="98">
        <f t="shared" si="15"/>
        <v>1094.28906983611</v>
      </c>
      <c r="V52" s="98">
        <f t="shared" si="12"/>
        <v>1054.6665875916306</v>
      </c>
      <c r="W52" s="98">
        <f t="shared" si="12"/>
        <v>1047.2290299697122</v>
      </c>
      <c r="X52" s="98"/>
      <c r="Y52" s="98"/>
      <c r="Z52" s="98"/>
      <c r="AA52" s="97">
        <f>EC!AP50</f>
        <v>2344.984832121369</v>
      </c>
      <c r="AB52" s="97">
        <v>1557.0527616532638</v>
      </c>
      <c r="AC52" s="97">
        <f>EC!AR50</f>
        <v>1555.8250338519472</v>
      </c>
      <c r="AD52" s="98">
        <f t="shared" si="16"/>
        <v>3439.2739019574792</v>
      </c>
      <c r="AE52" s="98">
        <f t="shared" si="13"/>
        <v>2611.7193492448941</v>
      </c>
      <c r="AF52" s="98">
        <f t="shared" si="13"/>
        <v>2603.0540638216594</v>
      </c>
      <c r="AG52" s="9">
        <v>2532.9569999999999</v>
      </c>
    </row>
    <row r="53" spans="2:33" x14ac:dyDescent="0.35">
      <c r="B53" s="7" t="s">
        <v>158</v>
      </c>
      <c r="C53" s="97">
        <f>RoE!I15</f>
        <v>389.54455038156624</v>
      </c>
      <c r="D53" s="97">
        <f>RoE!J15</f>
        <v>428.89188493627154</v>
      </c>
      <c r="E53" s="97">
        <f>RoE!K15</f>
        <v>415.74275409303567</v>
      </c>
      <c r="F53" s="97">
        <f>IoL!AE15</f>
        <v>620.73617779047584</v>
      </c>
      <c r="G53" s="97">
        <f>IoL!AH15</f>
        <v>669.19691608328446</v>
      </c>
      <c r="H53" s="97">
        <f>IoL!AK15</f>
        <v>663.09415747921241</v>
      </c>
      <c r="I53" s="97">
        <f>'Depreciation (Summary)'!I15</f>
        <v>643.94518993180554</v>
      </c>
      <c r="J53" s="97">
        <f>'Depreciation (Summary)'!J15</f>
        <v>690.12281843290612</v>
      </c>
      <c r="K53" s="97">
        <f>'Depreciation (Summary)'!K15</f>
        <v>683.05168960898106</v>
      </c>
      <c r="L53" s="97">
        <f>'O&amp;M (Summary)'!G53</f>
        <v>417.02208648268493</v>
      </c>
      <c r="M53" s="97">
        <f>'O&amp;M (Summary)'!S53</f>
        <v>429.51416882798844</v>
      </c>
      <c r="N53" s="97">
        <f>'O&amp;M (Summary)'!Y53</f>
        <v>439.76396882798844</v>
      </c>
      <c r="O53" s="97">
        <f>IoWC!I15</f>
        <v>102.64526626509979</v>
      </c>
      <c r="P53" s="97">
        <f>IoWC!J15</f>
        <v>102.27779217849073</v>
      </c>
      <c r="Q53" s="97">
        <f>IoWC!K15</f>
        <v>92.215067381563728</v>
      </c>
      <c r="R53" s="97">
        <v>7.27</v>
      </c>
      <c r="S53" s="97">
        <v>10.916171004282507</v>
      </c>
      <c r="T53" s="97">
        <f t="shared" si="14"/>
        <v>10.916171004282507</v>
      </c>
      <c r="U53" s="98">
        <f t="shared" si="15"/>
        <v>2166.6232708516322</v>
      </c>
      <c r="V53" s="98">
        <f t="shared" si="12"/>
        <v>2309.0874094546589</v>
      </c>
      <c r="W53" s="98">
        <f t="shared" si="12"/>
        <v>2282.9514663864984</v>
      </c>
      <c r="X53" s="98"/>
      <c r="Y53" s="98"/>
      <c r="Z53" s="98"/>
      <c r="AA53" s="97">
        <f>EC!AP51</f>
        <v>2289.7000106489118</v>
      </c>
      <c r="AB53" s="97">
        <v>2516.880872841461</v>
      </c>
      <c r="AC53" s="97">
        <f>EC!AR51</f>
        <v>2516.880872841461</v>
      </c>
      <c r="AD53" s="98">
        <f t="shared" si="16"/>
        <v>4456.323281500544</v>
      </c>
      <c r="AE53" s="98">
        <f t="shared" si="13"/>
        <v>4825.9682822961204</v>
      </c>
      <c r="AF53" s="98">
        <f t="shared" si="13"/>
        <v>4799.8323392279599</v>
      </c>
      <c r="AG53" s="9">
        <v>4105.2560000000003</v>
      </c>
    </row>
    <row r="54" spans="2:33" x14ac:dyDescent="0.35">
      <c r="B54" s="7" t="s">
        <v>159</v>
      </c>
      <c r="C54" s="97">
        <f>RoE!I16</f>
        <v>166.02147368498268</v>
      </c>
      <c r="D54" s="97">
        <f>RoE!J16</f>
        <v>176.27547029242493</v>
      </c>
      <c r="E54" s="97">
        <f>RoE!K16</f>
        <v>176.27528950272776</v>
      </c>
      <c r="F54" s="97">
        <f>IoL!AE16</f>
        <v>345.6242355553423</v>
      </c>
      <c r="G54" s="97">
        <f>IoL!AH16</f>
        <v>346.73685167769327</v>
      </c>
      <c r="H54" s="97">
        <f>IoL!AK16</f>
        <v>346.73678579641626</v>
      </c>
      <c r="I54" s="97">
        <f>'Depreciation (Summary)'!I16</f>
        <v>321.58255697398306</v>
      </c>
      <c r="J54" s="97">
        <f>'Depreciation (Summary)'!J16</f>
        <v>330.34400742010479</v>
      </c>
      <c r="K54" s="97">
        <f>'Depreciation (Summary)'!K16</f>
        <v>330.34382050781676</v>
      </c>
      <c r="L54" s="97">
        <f>'O&amp;M (Summary)'!G54</f>
        <v>246.47740016200351</v>
      </c>
      <c r="M54" s="97">
        <f>'O&amp;M (Summary)'!S54</f>
        <v>263.25340898343211</v>
      </c>
      <c r="N54" s="97">
        <f>'O&amp;M (Summary)'!Y54</f>
        <v>263.25340898343211</v>
      </c>
      <c r="O54" s="97">
        <f>IoWC!I16</f>
        <v>67.745977337349743</v>
      </c>
      <c r="P54" s="97">
        <f>IoWC!J16</f>
        <v>67.745977337349743</v>
      </c>
      <c r="Q54" s="97">
        <f>IoWC!K16</f>
        <v>56.069654670818849</v>
      </c>
      <c r="R54" s="97">
        <v>15.14</v>
      </c>
      <c r="S54" s="97">
        <v>2.3649168816804895</v>
      </c>
      <c r="T54" s="97">
        <f t="shared" si="14"/>
        <v>2.3649168816804895</v>
      </c>
      <c r="U54" s="98">
        <f t="shared" si="15"/>
        <v>1132.3116437136612</v>
      </c>
      <c r="V54" s="98">
        <f t="shared" si="12"/>
        <v>1181.9907988293244</v>
      </c>
      <c r="W54" s="98">
        <f t="shared" si="12"/>
        <v>1170.3140425795311</v>
      </c>
      <c r="X54" s="98"/>
      <c r="Y54" s="98"/>
      <c r="Z54" s="98"/>
      <c r="AA54" s="97">
        <f>EC!AP52</f>
        <v>1719.5740294705345</v>
      </c>
      <c r="AB54" s="97">
        <v>1614.3606663710668</v>
      </c>
      <c r="AC54" s="97">
        <f>EC!AR52</f>
        <v>1614.3606663710668</v>
      </c>
      <c r="AD54" s="98">
        <f t="shared" si="16"/>
        <v>2851.8856731841956</v>
      </c>
      <c r="AE54" s="98">
        <f t="shared" si="13"/>
        <v>2796.3514652003914</v>
      </c>
      <c r="AF54" s="98">
        <f t="shared" si="13"/>
        <v>2784.674708950598</v>
      </c>
      <c r="AG54" s="9">
        <v>2525.3670000000002</v>
      </c>
    </row>
    <row r="55" spans="2:33" x14ac:dyDescent="0.35">
      <c r="B55" s="7" t="s">
        <v>160</v>
      </c>
      <c r="C55" s="97">
        <f>RoE!I17</f>
        <v>55.929888973499715</v>
      </c>
      <c r="D55" s="97">
        <f>RoE!J17</f>
        <v>55.127517916754769</v>
      </c>
      <c r="E55" s="97">
        <f>RoE!K17</f>
        <v>54.158133565181672</v>
      </c>
      <c r="F55" s="97">
        <f>IoL!AE17</f>
        <v>107.23602389771656</v>
      </c>
      <c r="G55" s="97">
        <f>IoL!AH17</f>
        <v>109.88378865619825</v>
      </c>
      <c r="H55" s="97">
        <f>IoL!AK17</f>
        <v>109.880282797052</v>
      </c>
      <c r="I55" s="97">
        <f>'Depreciation (Summary)'!I17</f>
        <v>96.055637586678117</v>
      </c>
      <c r="J55" s="97">
        <f>'Depreciation (Summary)'!J17</f>
        <v>94.83285245369828</v>
      </c>
      <c r="K55" s="97">
        <f>'Depreciation (Summary)'!K17</f>
        <v>94.830285327585358</v>
      </c>
      <c r="L55" s="97">
        <f>'O&amp;M (Summary)'!G55</f>
        <v>105.53061722245715</v>
      </c>
      <c r="M55" s="97">
        <f>'O&amp;M (Summary)'!S55</f>
        <v>91.646955023285983</v>
      </c>
      <c r="N55" s="97">
        <f>'O&amp;M (Summary)'!Y55</f>
        <v>91.646955023285983</v>
      </c>
      <c r="O55" s="97">
        <f>IoWC!I17</f>
        <v>22.972411603509244</v>
      </c>
      <c r="P55" s="97">
        <f>IoWC!J17</f>
        <v>15.55586049264496</v>
      </c>
      <c r="Q55" s="97">
        <f>IoWC!K17</f>
        <v>14.885978548164157</v>
      </c>
      <c r="R55" s="97">
        <v>1.08</v>
      </c>
      <c r="S55" s="97">
        <v>2.1413789488093924</v>
      </c>
      <c r="T55" s="97">
        <f t="shared" si="14"/>
        <v>2.1413789488093924</v>
      </c>
      <c r="U55" s="98">
        <f t="shared" si="15"/>
        <v>386.64457928386088</v>
      </c>
      <c r="V55" s="98">
        <f t="shared" si="12"/>
        <v>364.90559559377277</v>
      </c>
      <c r="W55" s="98">
        <f t="shared" si="12"/>
        <v>363.26025631245977</v>
      </c>
      <c r="X55" s="98"/>
      <c r="Y55" s="98"/>
      <c r="Z55" s="98"/>
      <c r="AA55" s="97">
        <f>EC!AP53</f>
        <v>582.49440469015303</v>
      </c>
      <c r="AB55" s="97">
        <v>383.26689260244586</v>
      </c>
      <c r="AC55" s="97">
        <f>EC!AR53</f>
        <v>383.26689260244586</v>
      </c>
      <c r="AD55" s="98">
        <f t="shared" si="16"/>
        <v>969.13898397401385</v>
      </c>
      <c r="AE55" s="98">
        <f t="shared" si="13"/>
        <v>748.17248819621864</v>
      </c>
      <c r="AF55" s="98">
        <f t="shared" si="13"/>
        <v>746.52714891490564</v>
      </c>
      <c r="AG55" s="9">
        <v>698.08299999999997</v>
      </c>
    </row>
    <row r="56" spans="2:33" x14ac:dyDescent="0.35">
      <c r="B56" s="7" t="s">
        <v>161</v>
      </c>
      <c r="C56" s="97">
        <f>RoE!I18</f>
        <v>9.0888250370520076</v>
      </c>
      <c r="D56" s="97">
        <f>RoE!J18</f>
        <v>4.6264896784029874</v>
      </c>
      <c r="E56" s="97">
        <f>RoE!K18</f>
        <v>4.6245709131909871</v>
      </c>
      <c r="F56" s="97">
        <f>IoL!AE18</f>
        <v>10.566260732072779</v>
      </c>
      <c r="G56" s="97">
        <f>IoL!AH18</f>
        <v>1.8565125622646972</v>
      </c>
      <c r="H56" s="97">
        <f>IoL!AK18</f>
        <v>1.1091491478385209</v>
      </c>
      <c r="I56" s="97">
        <f>'Depreciation (Summary)'!I18</f>
        <v>19.745728610744802</v>
      </c>
      <c r="J56" s="97">
        <f>'Depreciation (Summary)'!J18</f>
        <v>34.039389121041523</v>
      </c>
      <c r="K56" s="97">
        <f>'Depreciation (Summary)'!K18</f>
        <v>36.749182397072985</v>
      </c>
      <c r="L56" s="97">
        <f>'O&amp;M (Summary)'!G56</f>
        <v>222.47368347906234</v>
      </c>
      <c r="M56" s="97">
        <f>'O&amp;M (Summary)'!S56</f>
        <v>217.58496660375189</v>
      </c>
      <c r="N56" s="97">
        <f>'O&amp;M (Summary)'!Y56</f>
        <v>232.98504336470606</v>
      </c>
      <c r="O56" s="97">
        <f>IoWC!I18</f>
        <v>11.804185699499271</v>
      </c>
      <c r="P56" s="97">
        <f>IoWC!J18</f>
        <v>10.829435810547649</v>
      </c>
      <c r="Q56" s="97">
        <f>IoWC!K18</f>
        <v>10.645878003402869</v>
      </c>
      <c r="R56" s="97">
        <v>4.76</v>
      </c>
      <c r="S56" s="97">
        <v>3.3896296890000004</v>
      </c>
      <c r="T56" s="97">
        <f t="shared" si="14"/>
        <v>3.3896296890000004</v>
      </c>
      <c r="U56" s="98">
        <f t="shared" si="15"/>
        <v>268.91868355843121</v>
      </c>
      <c r="V56" s="98">
        <f t="shared" si="12"/>
        <v>265.54716408700875</v>
      </c>
      <c r="W56" s="98">
        <f t="shared" si="12"/>
        <v>282.72419413721138</v>
      </c>
      <c r="X56" s="97">
        <v>553.70000000000005</v>
      </c>
      <c r="Y56" s="97">
        <v>553.70320002359983</v>
      </c>
      <c r="Z56" s="97">
        <f>Y56</f>
        <v>553.70320002359983</v>
      </c>
      <c r="AA56" s="97"/>
      <c r="AB56" s="97"/>
      <c r="AC56" s="97"/>
      <c r="AD56" s="98">
        <f t="shared" si="16"/>
        <v>822.61868355843126</v>
      </c>
      <c r="AE56" s="98">
        <f t="shared" si="13"/>
        <v>819.25036411060864</v>
      </c>
      <c r="AF56" s="98">
        <f t="shared" si="13"/>
        <v>836.42739416081122</v>
      </c>
      <c r="AG56" s="9">
        <v>835.06999999999994</v>
      </c>
    </row>
    <row r="57" spans="2:33" x14ac:dyDescent="0.35">
      <c r="B57" s="12" t="s">
        <v>27</v>
      </c>
      <c r="C57" s="98">
        <f>SUM(C43:C56)</f>
        <v>1586.4294147933099</v>
      </c>
      <c r="D57" s="98">
        <f>SUM(D43:D56)</f>
        <v>1617.727970031541</v>
      </c>
      <c r="E57" s="98">
        <f t="shared" ref="E57:AG57" si="17">SUM(E43:E56)</f>
        <v>1583.5294695800374</v>
      </c>
      <c r="F57" s="98">
        <f t="shared" si="17"/>
        <v>1569.9455432178888</v>
      </c>
      <c r="G57" s="98">
        <f t="shared" si="17"/>
        <v>1573.4745174800828</v>
      </c>
      <c r="H57" s="98">
        <f t="shared" si="17"/>
        <v>1568.4552931454441</v>
      </c>
      <c r="I57" s="98">
        <f t="shared" si="17"/>
        <v>2153.4036842455112</v>
      </c>
      <c r="J57" s="98">
        <f t="shared" si="17"/>
        <v>1999.6784211596496</v>
      </c>
      <c r="K57" s="98">
        <f t="shared" si="17"/>
        <v>1982.7030685446696</v>
      </c>
      <c r="L57" s="98">
        <f t="shared" si="17"/>
        <v>3584.5837778326327</v>
      </c>
      <c r="M57" s="98">
        <f t="shared" si="17"/>
        <v>3501.6783014016141</v>
      </c>
      <c r="N57" s="98">
        <f t="shared" si="17"/>
        <v>3571.9465041635258</v>
      </c>
      <c r="O57" s="98">
        <f t="shared" si="17"/>
        <v>655.13036807973094</v>
      </c>
      <c r="P57" s="98">
        <f t="shared" si="17"/>
        <v>504.14640408068584</v>
      </c>
      <c r="Q57" s="98">
        <f t="shared" si="17"/>
        <v>471.82234430072867</v>
      </c>
      <c r="R57" s="98">
        <f t="shared" si="17"/>
        <v>99.12</v>
      </c>
      <c r="S57" s="98">
        <f t="shared" si="17"/>
        <v>133.06627358900005</v>
      </c>
      <c r="T57" s="98">
        <f t="shared" si="17"/>
        <v>133.06627358900005</v>
      </c>
      <c r="U57" s="98">
        <f t="shared" si="17"/>
        <v>9450.3727881690738</v>
      </c>
      <c r="V57" s="98">
        <f t="shared" si="17"/>
        <v>9063.6393405645722</v>
      </c>
      <c r="W57" s="98">
        <f t="shared" si="17"/>
        <v>9045.3904061454068</v>
      </c>
      <c r="X57" s="98">
        <f t="shared" si="17"/>
        <v>553.70000000000005</v>
      </c>
      <c r="Y57" s="98">
        <f t="shared" si="17"/>
        <v>553.70320002359983</v>
      </c>
      <c r="Z57" s="98">
        <f t="shared" si="17"/>
        <v>553.70320002359983</v>
      </c>
      <c r="AA57" s="98">
        <f t="shared" si="17"/>
        <v>17058.635836625552</v>
      </c>
      <c r="AB57" s="98">
        <f t="shared" si="17"/>
        <v>13170.625905091065</v>
      </c>
      <c r="AC57" s="98">
        <f t="shared" si="17"/>
        <v>13169.398177289748</v>
      </c>
      <c r="AD57" s="98">
        <f t="shared" si="17"/>
        <v>27062.708624794624</v>
      </c>
      <c r="AE57" s="98">
        <f t="shared" si="17"/>
        <v>22787.968445679238</v>
      </c>
      <c r="AF57" s="98">
        <f t="shared" si="17"/>
        <v>22768.491783458754</v>
      </c>
      <c r="AG57" s="98">
        <f t="shared" si="17"/>
        <v>21128.338000000003</v>
      </c>
    </row>
    <row r="59" spans="2:33" x14ac:dyDescent="0.35">
      <c r="B59" s="3" t="s">
        <v>34</v>
      </c>
      <c r="AF59" s="3" t="s">
        <v>164</v>
      </c>
    </row>
    <row r="60" spans="2:33" ht="15.75" customHeight="1" x14ac:dyDescent="0.35">
      <c r="B60" s="187" t="s">
        <v>170</v>
      </c>
      <c r="C60" s="178" t="s">
        <v>196</v>
      </c>
      <c r="D60" s="196"/>
      <c r="E60" s="179"/>
      <c r="F60" s="178" t="s">
        <v>48</v>
      </c>
      <c r="G60" s="196"/>
      <c r="H60" s="179"/>
      <c r="I60" s="178" t="s">
        <v>24</v>
      </c>
      <c r="J60" s="196"/>
      <c r="K60" s="179"/>
      <c r="L60" s="178" t="s">
        <v>243</v>
      </c>
      <c r="M60" s="196"/>
      <c r="N60" s="179"/>
      <c r="O60" s="178" t="s">
        <v>26</v>
      </c>
      <c r="P60" s="196"/>
      <c r="Q60" s="179"/>
      <c r="R60" s="178" t="s">
        <v>366</v>
      </c>
      <c r="S60" s="196"/>
      <c r="T60" s="179"/>
      <c r="U60" s="178" t="s">
        <v>367</v>
      </c>
      <c r="V60" s="196"/>
      <c r="W60" s="179"/>
      <c r="X60" s="178" t="s">
        <v>368</v>
      </c>
      <c r="Y60" s="196"/>
      <c r="Z60" s="179"/>
      <c r="AA60" s="178" t="s">
        <v>369</v>
      </c>
      <c r="AB60" s="196"/>
      <c r="AC60" s="179"/>
      <c r="AD60" s="178" t="s">
        <v>370</v>
      </c>
      <c r="AE60" s="196"/>
      <c r="AF60" s="179"/>
    </row>
    <row r="61" spans="2:33" ht="30" x14ac:dyDescent="0.35">
      <c r="B61" s="187"/>
      <c r="C61" s="96" t="s">
        <v>172</v>
      </c>
      <c r="D61" s="6" t="s">
        <v>131</v>
      </c>
      <c r="E61" s="6" t="s">
        <v>372</v>
      </c>
      <c r="F61" s="96" t="s">
        <v>172</v>
      </c>
      <c r="G61" s="6" t="s">
        <v>131</v>
      </c>
      <c r="H61" s="6" t="s">
        <v>372</v>
      </c>
      <c r="I61" s="96" t="s">
        <v>172</v>
      </c>
      <c r="J61" s="6" t="s">
        <v>131</v>
      </c>
      <c r="K61" s="6" t="s">
        <v>372</v>
      </c>
      <c r="L61" s="96" t="s">
        <v>172</v>
      </c>
      <c r="M61" s="6" t="s">
        <v>131</v>
      </c>
      <c r="N61" s="6" t="s">
        <v>372</v>
      </c>
      <c r="O61" s="96" t="s">
        <v>172</v>
      </c>
      <c r="P61" s="6" t="s">
        <v>131</v>
      </c>
      <c r="Q61" s="6" t="s">
        <v>372</v>
      </c>
      <c r="R61" s="96" t="s">
        <v>172</v>
      </c>
      <c r="S61" s="6" t="s">
        <v>131</v>
      </c>
      <c r="T61" s="6" t="s">
        <v>372</v>
      </c>
      <c r="U61" s="96" t="s">
        <v>172</v>
      </c>
      <c r="V61" s="6" t="s">
        <v>131</v>
      </c>
      <c r="W61" s="6" t="s">
        <v>372</v>
      </c>
      <c r="X61" s="96" t="s">
        <v>172</v>
      </c>
      <c r="Y61" s="6" t="s">
        <v>131</v>
      </c>
      <c r="Z61" s="6" t="s">
        <v>372</v>
      </c>
      <c r="AA61" s="96" t="s">
        <v>172</v>
      </c>
      <c r="AB61" s="6" t="s">
        <v>131</v>
      </c>
      <c r="AC61" s="6" t="s">
        <v>372</v>
      </c>
      <c r="AD61" s="96" t="s">
        <v>172</v>
      </c>
      <c r="AE61" s="6" t="s">
        <v>131</v>
      </c>
      <c r="AF61" s="6" t="s">
        <v>372</v>
      </c>
    </row>
    <row r="62" spans="2:33" x14ac:dyDescent="0.35">
      <c r="B62" s="7" t="s">
        <v>43</v>
      </c>
      <c r="C62" s="97">
        <f>RoE!L5</f>
        <v>13.915077658341387</v>
      </c>
      <c r="D62" s="97">
        <f>RoE!M5</f>
        <v>13.403118955167326</v>
      </c>
      <c r="E62" s="97">
        <f>RoE!N5</f>
        <v>13.402903431789325</v>
      </c>
      <c r="F62" s="97">
        <f>IoL!AR5</f>
        <v>0.43443909104356321</v>
      </c>
      <c r="G62" s="97">
        <f>IoL!AU5</f>
        <v>0.28697013708056579</v>
      </c>
      <c r="H62" s="97">
        <f>IoL!AX5</f>
        <v>0.28701044119787716</v>
      </c>
      <c r="I62" s="97">
        <f>'Depreciation (Summary)'!L5</f>
        <v>12.067726325777249</v>
      </c>
      <c r="J62" s="97">
        <f>'Depreciation (Summary)'!M5</f>
        <v>11.246812938360755</v>
      </c>
      <c r="K62" s="97">
        <f>'Depreciation (Summary)'!N5</f>
        <v>9.2146957380527201</v>
      </c>
      <c r="L62" s="97">
        <f>'O&amp;M (Summary)'!G62</f>
        <v>117.6468803917771</v>
      </c>
      <c r="M62" s="97">
        <f>'O&amp;M (Summary)'!L62</f>
        <v>116.19905653126189</v>
      </c>
      <c r="N62" s="97">
        <f>'O&amp;M (Summary)'!Q62</f>
        <v>119.29591526255817</v>
      </c>
      <c r="O62" s="97">
        <f>IoWC!L5</f>
        <v>15.889565764759194</v>
      </c>
      <c r="P62" s="97">
        <f>IoWC!M5</f>
        <v>14.990599020500852</v>
      </c>
      <c r="Q62" s="97">
        <f ca="1">IoWC!N5</f>
        <v>15.879959004683128</v>
      </c>
      <c r="R62" s="97">
        <v>2.73</v>
      </c>
      <c r="S62" s="97">
        <v>3.9892058040198344</v>
      </c>
      <c r="T62" s="97">
        <f>S62</f>
        <v>3.9892058040198344</v>
      </c>
      <c r="U62" s="98">
        <f>C62+F62+I62+L62+O62-R62</f>
        <v>157.2236892316985</v>
      </c>
      <c r="V62" s="98">
        <f t="shared" ref="V62:W75" si="18">D62+G62+J62+M62+P62-S62</f>
        <v>152.13735177835156</v>
      </c>
      <c r="W62" s="98">
        <f t="shared" ca="1" si="18"/>
        <v>154.09127807426137</v>
      </c>
      <c r="X62" s="98"/>
      <c r="Y62" s="98"/>
      <c r="Z62" s="98"/>
      <c r="AA62" s="97">
        <f>EC!AP59</f>
        <v>471.30402823594125</v>
      </c>
      <c r="AB62" s="97">
        <v>474.64390226046982</v>
      </c>
      <c r="AC62" s="97">
        <f>EC!AR59</f>
        <v>469.50251703765423</v>
      </c>
      <c r="AD62" s="98">
        <f>U62+X62+AA62</f>
        <v>628.52771746763972</v>
      </c>
      <c r="AE62" s="98">
        <f t="shared" ref="AE62:AF75" si="19">V62+Y62+AB62</f>
        <v>626.78125403882132</v>
      </c>
      <c r="AF62" s="98">
        <f t="shared" ca="1" si="19"/>
        <v>623.5937951119156</v>
      </c>
    </row>
    <row r="63" spans="2:33" x14ac:dyDescent="0.35">
      <c r="B63" s="7" t="s">
        <v>150</v>
      </c>
      <c r="C63" s="97">
        <f>RoE!L6</f>
        <v>126.48219976365556</v>
      </c>
      <c r="D63" s="97">
        <f>RoE!M6</f>
        <v>133.39973653899855</v>
      </c>
      <c r="E63" s="97">
        <f>RoE!N6</f>
        <v>131.75565045148753</v>
      </c>
      <c r="F63" s="97">
        <f>IoL!AR6</f>
        <v>54.894443246098049</v>
      </c>
      <c r="G63" s="97">
        <f>IoL!AU6</f>
        <v>63.105315754140925</v>
      </c>
      <c r="H63" s="97">
        <f>IoL!AX6</f>
        <v>60.897163132050522</v>
      </c>
      <c r="I63" s="97">
        <f>'Depreciation (Summary)'!L6</f>
        <v>67.383698697847635</v>
      </c>
      <c r="J63" s="97">
        <f>'Depreciation (Summary)'!M6</f>
        <v>93.956399545314753</v>
      </c>
      <c r="K63" s="97">
        <f>'Depreciation (Summary)'!N6</f>
        <v>89.113843382013087</v>
      </c>
      <c r="L63" s="97">
        <f>'O&amp;M (Summary)'!G63</f>
        <v>698.07647870683354</v>
      </c>
      <c r="M63" s="97">
        <f>'O&amp;M (Summary)'!L63</f>
        <v>781.4636108568809</v>
      </c>
      <c r="N63" s="97">
        <f>'O&amp;M (Summary)'!Q63</f>
        <v>684.50070052870092</v>
      </c>
      <c r="O63" s="97">
        <f>IoWC!L6</f>
        <v>96.246441130675848</v>
      </c>
      <c r="P63" s="97">
        <f>IoWC!M6</f>
        <v>133.3348513033807</v>
      </c>
      <c r="Q63" s="97">
        <f ca="1">IoWC!N6</f>
        <v>139.8134982917687</v>
      </c>
      <c r="R63" s="97">
        <v>19.600000000000001</v>
      </c>
      <c r="S63" s="97">
        <v>30.893044635616437</v>
      </c>
      <c r="T63" s="97">
        <f t="shared" ref="T63:T75" si="20">S63</f>
        <v>30.893044635616437</v>
      </c>
      <c r="U63" s="98">
        <f t="shared" ref="U63:U75" si="21">C63+F63+I63+L63+O63-R63</f>
        <v>1023.4832615451106</v>
      </c>
      <c r="V63" s="98">
        <f t="shared" si="18"/>
        <v>1174.3668693630993</v>
      </c>
      <c r="W63" s="98">
        <f t="shared" ca="1" si="18"/>
        <v>1075.1878111504043</v>
      </c>
      <c r="X63" s="98"/>
      <c r="Y63" s="98"/>
      <c r="Z63" s="98"/>
      <c r="AA63" s="97">
        <f>EC!AP60</f>
        <v>2783.9407831346525</v>
      </c>
      <c r="AB63" s="97">
        <v>4380.5362269946063</v>
      </c>
      <c r="AC63" s="97">
        <f>EC!AR60</f>
        <v>4353.6843876076555</v>
      </c>
      <c r="AD63" s="98">
        <f t="shared" ref="AD63:AD75" si="22">U63+X63+AA63</f>
        <v>3807.424044679763</v>
      </c>
      <c r="AE63" s="98">
        <f t="shared" si="19"/>
        <v>5554.9030963577061</v>
      </c>
      <c r="AF63" s="98">
        <f t="shared" ca="1" si="19"/>
        <v>5428.8721987580593</v>
      </c>
    </row>
    <row r="64" spans="2:33" x14ac:dyDescent="0.35">
      <c r="B64" s="7" t="s">
        <v>151</v>
      </c>
      <c r="C64" s="97">
        <f>RoE!L7</f>
        <v>151.97245271357681</v>
      </c>
      <c r="D64" s="97">
        <f>RoE!M7</f>
        <v>138.63191272635589</v>
      </c>
      <c r="E64" s="97">
        <f>RoE!N7</f>
        <v>138.62383888033787</v>
      </c>
      <c r="F64" s="97">
        <f>IoL!AR7</f>
        <v>23.467228600408713</v>
      </c>
      <c r="G64" s="97">
        <f>IoL!AU7</f>
        <v>5.7861915566266511</v>
      </c>
      <c r="H64" s="97">
        <f>IoL!AX7</f>
        <v>5.8745065088335204</v>
      </c>
      <c r="I64" s="97">
        <f>'Depreciation (Summary)'!L7</f>
        <v>43.086519472962998</v>
      </c>
      <c r="J64" s="97">
        <f>'Depreciation (Summary)'!M7</f>
        <v>26.94495383875077</v>
      </c>
      <c r="K64" s="97">
        <f>'Depreciation (Summary)'!N7</f>
        <v>25.929016595100229</v>
      </c>
      <c r="L64" s="97">
        <f>'O&amp;M (Summary)'!G64</f>
        <v>325.56136441355005</v>
      </c>
      <c r="M64" s="97">
        <f>'O&amp;M (Summary)'!L64</f>
        <v>370.08435643535393</v>
      </c>
      <c r="N64" s="97">
        <f>'O&amp;M (Summary)'!Q64</f>
        <v>383.93861283566099</v>
      </c>
      <c r="O64" s="97">
        <f>IoWC!L7</f>
        <v>47.535404928844933</v>
      </c>
      <c r="P64" s="97">
        <f>IoWC!M7</f>
        <v>58.568578996025927</v>
      </c>
      <c r="Q64" s="97">
        <f ca="1">IoWC!N7</f>
        <v>61.961939521238747</v>
      </c>
      <c r="R64" s="97">
        <v>5.16</v>
      </c>
      <c r="S64" s="97">
        <v>28.935867982203458</v>
      </c>
      <c r="T64" s="97">
        <f t="shared" si="20"/>
        <v>28.935867982203458</v>
      </c>
      <c r="U64" s="98">
        <f t="shared" si="21"/>
        <v>586.4629701293436</v>
      </c>
      <c r="V64" s="98">
        <f t="shared" si="18"/>
        <v>571.08012557090967</v>
      </c>
      <c r="W64" s="98">
        <f t="shared" ca="1" si="18"/>
        <v>587.39204635896783</v>
      </c>
      <c r="X64" s="98"/>
      <c r="Y64" s="98"/>
      <c r="Z64" s="98"/>
      <c r="AA64" s="97">
        <f>EC!AP61</f>
        <v>1315.6595932868552</v>
      </c>
      <c r="AB64" s="97">
        <v>1856.89455077398</v>
      </c>
      <c r="AC64" s="97">
        <f>EC!AR61</f>
        <v>1834.7819218432192</v>
      </c>
      <c r="AD64" s="98">
        <f t="shared" si="22"/>
        <v>1902.1225634161988</v>
      </c>
      <c r="AE64" s="98">
        <f t="shared" si="19"/>
        <v>2427.9746763448898</v>
      </c>
      <c r="AF64" s="98">
        <f t="shared" ca="1" si="19"/>
        <v>2422.1739682021871</v>
      </c>
    </row>
    <row r="65" spans="2:32" x14ac:dyDescent="0.35">
      <c r="B65" s="7" t="s">
        <v>44</v>
      </c>
      <c r="C65" s="97">
        <f>RoE!L8</f>
        <v>47.790804583007244</v>
      </c>
      <c r="D65" s="97">
        <f>RoE!M8</f>
        <v>37.466130726502286</v>
      </c>
      <c r="E65" s="97">
        <f>RoE!N8</f>
        <v>37.226693848276291</v>
      </c>
      <c r="F65" s="97">
        <f>IoL!AR8</f>
        <v>14.295065186155355</v>
      </c>
      <c r="G65" s="97">
        <f>IoL!AU8</f>
        <v>16.971609334910251</v>
      </c>
      <c r="H65" s="97">
        <f>IoL!AX8</f>
        <v>18.885420508875576</v>
      </c>
      <c r="I65" s="97">
        <f>'Depreciation (Summary)'!L8</f>
        <v>76.644887463885098</v>
      </c>
      <c r="J65" s="97">
        <f>'Depreciation (Summary)'!M8</f>
        <v>35.82021592993825</v>
      </c>
      <c r="K65" s="97">
        <f>'Depreciation (Summary)'!N8</f>
        <v>28.024705099503009</v>
      </c>
      <c r="L65" s="97">
        <f>'O&amp;M (Summary)'!G65</f>
        <v>227.04596234049305</v>
      </c>
      <c r="M65" s="97">
        <f>'O&amp;M (Summary)'!L65</f>
        <v>216.04871927911921</v>
      </c>
      <c r="N65" s="97">
        <f>'O&amp;M (Summary)'!Q65</f>
        <v>240.42355725497305</v>
      </c>
      <c r="O65" s="97">
        <f>IoWC!L8</f>
        <v>18.066305753319611</v>
      </c>
      <c r="P65" s="97">
        <f>IoWC!M8</f>
        <v>16.078529844625415</v>
      </c>
      <c r="Q65" s="97">
        <f ca="1">IoWC!N8</f>
        <v>17.588906944179918</v>
      </c>
      <c r="R65" s="97">
        <v>1.6</v>
      </c>
      <c r="S65" s="97">
        <v>15.092353335766136</v>
      </c>
      <c r="T65" s="97">
        <f t="shared" si="20"/>
        <v>15.092353335766136</v>
      </c>
      <c r="U65" s="98">
        <f t="shared" si="21"/>
        <v>382.24302532686033</v>
      </c>
      <c r="V65" s="98">
        <f t="shared" si="18"/>
        <v>307.29285177932928</v>
      </c>
      <c r="W65" s="98">
        <f t="shared" ca="1" si="18"/>
        <v>327.05693032004172</v>
      </c>
      <c r="X65" s="98"/>
      <c r="Y65" s="98"/>
      <c r="Z65" s="98"/>
      <c r="AA65" s="97">
        <f>EC!AP62</f>
        <v>386.94890429781157</v>
      </c>
      <c r="AB65" s="97">
        <v>399.59585151252884</v>
      </c>
      <c r="AC65" s="97">
        <f>EC!AR62</f>
        <v>397.4515280616634</v>
      </c>
      <c r="AD65" s="98">
        <f t="shared" si="22"/>
        <v>769.19192962467196</v>
      </c>
      <c r="AE65" s="98">
        <f t="shared" si="19"/>
        <v>706.88870329185806</v>
      </c>
      <c r="AF65" s="98">
        <f t="shared" ca="1" si="19"/>
        <v>724.50845838170517</v>
      </c>
    </row>
    <row r="66" spans="2:32" x14ac:dyDescent="0.35">
      <c r="B66" s="7" t="s">
        <v>152</v>
      </c>
      <c r="C66" s="97">
        <f>RoE!L9</f>
        <v>38.31534276813953</v>
      </c>
      <c r="D66" s="97">
        <f>RoE!M9</f>
        <v>35.153449268943675</v>
      </c>
      <c r="E66" s="97">
        <f>RoE!N9</f>
        <v>35.091071351691674</v>
      </c>
      <c r="F66" s="97">
        <f>IoL!AR9</f>
        <v>0.92350096736228127</v>
      </c>
      <c r="G66" s="97">
        <f>IoL!AU9</f>
        <v>2.1977804897533813</v>
      </c>
      <c r="H66" s="97">
        <f>IoL!AX9</f>
        <v>4.2251136889797154</v>
      </c>
      <c r="I66" s="97">
        <f>'Depreciation (Summary)'!L9</f>
        <v>29.086514657433586</v>
      </c>
      <c r="J66" s="97">
        <f>'Depreciation (Summary)'!M9</f>
        <v>29.843878463682984</v>
      </c>
      <c r="K66" s="97">
        <f>'Depreciation (Summary)'!N9</f>
        <v>20.769394738728725</v>
      </c>
      <c r="L66" s="97">
        <f>'O&amp;M (Summary)'!G66</f>
        <v>383.85487577522326</v>
      </c>
      <c r="M66" s="97">
        <f>'O&amp;M (Summary)'!L66</f>
        <v>256.703098071</v>
      </c>
      <c r="N66" s="97">
        <f>'O&amp;M (Summary)'!Q66</f>
        <v>333.75995186472761</v>
      </c>
      <c r="O66" s="97">
        <f>IoWC!L9</f>
        <v>47.314503287926136</v>
      </c>
      <c r="P66" s="97">
        <f>IoWC!M9</f>
        <v>48.914061208820804</v>
      </c>
      <c r="Q66" s="97">
        <f ca="1">IoWC!N9</f>
        <v>52.549217048749448</v>
      </c>
      <c r="R66" s="97">
        <v>12.54</v>
      </c>
      <c r="S66" s="97">
        <v>7.943491185000001</v>
      </c>
      <c r="T66" s="97">
        <f t="shared" si="20"/>
        <v>7.943491185000001</v>
      </c>
      <c r="U66" s="98">
        <f t="shared" si="21"/>
        <v>486.95473745608479</v>
      </c>
      <c r="V66" s="98">
        <f t="shared" si="18"/>
        <v>364.8687763172008</v>
      </c>
      <c r="W66" s="98">
        <f t="shared" ca="1" si="18"/>
        <v>438.45125750787713</v>
      </c>
      <c r="X66" s="98"/>
      <c r="Y66" s="98"/>
      <c r="Z66" s="98"/>
      <c r="AA66" s="97">
        <f>EC!AP63</f>
        <v>1406.2589109049104</v>
      </c>
      <c r="AB66" s="97">
        <v>1637.7620473785835</v>
      </c>
      <c r="AC66" s="97">
        <f>EC!AR63</f>
        <v>1625.8057199527577</v>
      </c>
      <c r="AD66" s="98">
        <f t="shared" si="22"/>
        <v>1893.2136483609952</v>
      </c>
      <c r="AE66" s="98">
        <f t="shared" si="19"/>
        <v>2002.6308236957843</v>
      </c>
      <c r="AF66" s="98">
        <f t="shared" ca="1" si="19"/>
        <v>2064.256977460635</v>
      </c>
    </row>
    <row r="67" spans="2:32" x14ac:dyDescent="0.35">
      <c r="B67" s="7" t="s">
        <v>154</v>
      </c>
      <c r="C67" s="97">
        <f>RoE!L10</f>
        <v>46.909767917846885</v>
      </c>
      <c r="D67" s="97">
        <f>RoE!M10</f>
        <v>42.377004827972101</v>
      </c>
      <c r="E67" s="97">
        <f>RoE!N10</f>
        <v>42.376941562154101</v>
      </c>
      <c r="F67" s="97">
        <f>IoL!AR10</f>
        <v>12.219446515167107</v>
      </c>
      <c r="G67" s="97">
        <f>IoL!AU10</f>
        <v>10.935887289405864</v>
      </c>
      <c r="H67" s="97">
        <f>IoL!AX10</f>
        <v>10.343303476056988</v>
      </c>
      <c r="I67" s="97">
        <f>'Depreciation (Summary)'!L10</f>
        <v>35.113620431397223</v>
      </c>
      <c r="J67" s="97">
        <f>'Depreciation (Summary)'!M10</f>
        <v>9.006309746172132</v>
      </c>
      <c r="K67" s="97">
        <f>'Depreciation (Summary)'!N10</f>
        <v>15.56274951048494</v>
      </c>
      <c r="L67" s="97">
        <f>'O&amp;M (Summary)'!G67</f>
        <v>92.26547012326445</v>
      </c>
      <c r="M67" s="97">
        <f>'O&amp;M (Summary)'!L67</f>
        <v>93.6380728006</v>
      </c>
      <c r="N67" s="97">
        <f>'O&amp;M (Summary)'!Q67</f>
        <v>99.191801399326195</v>
      </c>
      <c r="O67" s="97">
        <f>IoWC!L10</f>
        <v>27.062330620802165</v>
      </c>
      <c r="P67" s="97">
        <f>IoWC!M10</f>
        <v>15.506857694297233</v>
      </c>
      <c r="Q67" s="97">
        <f ca="1">IoWC!N10</f>
        <v>28.706537819601078</v>
      </c>
      <c r="R67" s="97">
        <v>2.38</v>
      </c>
      <c r="S67" s="97">
        <v>0.46982670000000004</v>
      </c>
      <c r="T67" s="97">
        <f t="shared" si="20"/>
        <v>0.46982670000000004</v>
      </c>
      <c r="U67" s="98">
        <f t="shared" si="21"/>
        <v>211.19063560847783</v>
      </c>
      <c r="V67" s="98">
        <f t="shared" si="18"/>
        <v>170.9943056584473</v>
      </c>
      <c r="W67" s="98">
        <f t="shared" ca="1" si="18"/>
        <v>195.7115070676233</v>
      </c>
      <c r="X67" s="98"/>
      <c r="Y67" s="98"/>
      <c r="Z67" s="98"/>
      <c r="AA67" s="97">
        <f>EC!AP64</f>
        <v>825.04398156448838</v>
      </c>
      <c r="AB67" s="97">
        <v>446.04392587170099</v>
      </c>
      <c r="AC67" s="97">
        <f>EC!AR64</f>
        <v>884.07028567021393</v>
      </c>
      <c r="AD67" s="98">
        <f t="shared" si="22"/>
        <v>1036.2346171729662</v>
      </c>
      <c r="AE67" s="98">
        <f t="shared" si="19"/>
        <v>617.03823153014832</v>
      </c>
      <c r="AF67" s="98">
        <f t="shared" ca="1" si="19"/>
        <v>1079.7817927378373</v>
      </c>
    </row>
    <row r="68" spans="2:32" x14ac:dyDescent="0.35">
      <c r="B68" s="7" t="s">
        <v>155</v>
      </c>
      <c r="C68" s="97">
        <f>RoE!L11</f>
        <v>135.67561970248286</v>
      </c>
      <c r="D68" s="97">
        <f>RoE!M11</f>
        <v>132.55346215586638</v>
      </c>
      <c r="E68" s="97">
        <f>RoE!N11</f>
        <v>132.24400621118039</v>
      </c>
      <c r="F68" s="97">
        <f>IoL!AR11</f>
        <v>27.919003391025655</v>
      </c>
      <c r="G68" s="97">
        <f>IoL!AU11</f>
        <v>30.230715403070668</v>
      </c>
      <c r="H68" s="97">
        <f>IoL!AX11</f>
        <v>29.808382916269217</v>
      </c>
      <c r="I68" s="97">
        <f>'Depreciation (Summary)'!L11</f>
        <v>82.722530219045964</v>
      </c>
      <c r="J68" s="97">
        <f>'Depreciation (Summary)'!M11</f>
        <v>88.959642120484745</v>
      </c>
      <c r="K68" s="97">
        <f>'Depreciation (Summary)'!N11</f>
        <v>88.617626275134967</v>
      </c>
      <c r="L68" s="97">
        <f>'O&amp;M (Summary)'!G68</f>
        <v>189.66362579417569</v>
      </c>
      <c r="M68" s="97">
        <f>'O&amp;M (Summary)'!L68</f>
        <v>182.70811007680001</v>
      </c>
      <c r="N68" s="97">
        <f>'O&amp;M (Summary)'!Q68</f>
        <v>181.59384136487935</v>
      </c>
      <c r="O68" s="97">
        <f>IoWC!L11</f>
        <v>37.038159599811188</v>
      </c>
      <c r="P68" s="97">
        <f>IoWC!M11</f>
        <v>33.684781238321783</v>
      </c>
      <c r="Q68" s="97">
        <f ca="1">IoWC!N11</f>
        <v>35.797241830700166</v>
      </c>
      <c r="R68" s="97">
        <v>3.94</v>
      </c>
      <c r="S68" s="97">
        <v>7.4924896607999987</v>
      </c>
      <c r="T68" s="97">
        <f t="shared" si="20"/>
        <v>7.4924896607999987</v>
      </c>
      <c r="U68" s="98">
        <f t="shared" si="21"/>
        <v>469.07893870654135</v>
      </c>
      <c r="V68" s="98">
        <f t="shared" si="18"/>
        <v>460.64422133374359</v>
      </c>
      <c r="W68" s="98">
        <f t="shared" ca="1" si="18"/>
        <v>460.5686089373641</v>
      </c>
      <c r="X68" s="98"/>
      <c r="Y68" s="98"/>
      <c r="Z68" s="98"/>
      <c r="AA68" s="97">
        <f>EC!AP65</f>
        <v>998.46308343761882</v>
      </c>
      <c r="AB68" s="97">
        <v>956.16497902233596</v>
      </c>
      <c r="AC68" s="97">
        <f>EC!AR65</f>
        <v>956.16497902233618</v>
      </c>
      <c r="AD68" s="98">
        <f t="shared" si="22"/>
        <v>1467.5420221441602</v>
      </c>
      <c r="AE68" s="98">
        <f t="shared" si="19"/>
        <v>1416.8092003560796</v>
      </c>
      <c r="AF68" s="98">
        <f t="shared" ca="1" si="19"/>
        <v>1416.7335879597003</v>
      </c>
    </row>
    <row r="69" spans="2:32" x14ac:dyDescent="0.35">
      <c r="B69" s="7" t="s">
        <v>156</v>
      </c>
      <c r="C69" s="97">
        <f>RoE!L12</f>
        <v>134.01187562971995</v>
      </c>
      <c r="D69" s="97">
        <f>RoE!M12</f>
        <v>131.47416225085726</v>
      </c>
      <c r="E69" s="97">
        <f>RoE!N12</f>
        <v>131.29846369529326</v>
      </c>
      <c r="F69" s="97">
        <f>IoL!AR12</f>
        <v>9.889032751413616</v>
      </c>
      <c r="G69" s="97">
        <f>IoL!AU12</f>
        <v>13.718940152470859</v>
      </c>
      <c r="H69" s="97">
        <f>IoL!AX12</f>
        <v>13.486712538931126</v>
      </c>
      <c r="I69" s="97">
        <f>'Depreciation (Summary)'!L12</f>
        <v>76.849057706581547</v>
      </c>
      <c r="J69" s="97">
        <f>'Depreciation (Summary)'!M12</f>
        <v>80.750675864806681</v>
      </c>
      <c r="K69" s="97">
        <f>'Depreciation (Summary)'!N12</f>
        <v>80.423739212785947</v>
      </c>
      <c r="L69" s="97">
        <f>'O&amp;M (Summary)'!G69</f>
        <v>193.94137302524354</v>
      </c>
      <c r="M69" s="97">
        <f>'O&amp;M (Summary)'!L69</f>
        <v>222.64168806640438</v>
      </c>
      <c r="N69" s="97">
        <f>'O&amp;M (Summary)'!Q69</f>
        <v>184.70849799967954</v>
      </c>
      <c r="O69" s="97">
        <f>IoWC!L12</f>
        <v>45.40656657872649</v>
      </c>
      <c r="P69" s="97">
        <f>IoWC!M12</f>
        <v>45.506528421894139</v>
      </c>
      <c r="Q69" s="97">
        <f ca="1">IoWC!N12</f>
        <v>47.805116237879943</v>
      </c>
      <c r="R69" s="97">
        <v>3.95</v>
      </c>
      <c r="S69" s="97">
        <v>2.1155181833333296</v>
      </c>
      <c r="T69" s="97">
        <f t="shared" si="20"/>
        <v>2.1155181833333296</v>
      </c>
      <c r="U69" s="98">
        <f t="shared" si="21"/>
        <v>456.14790569168514</v>
      </c>
      <c r="V69" s="98">
        <f t="shared" si="18"/>
        <v>491.9764765731</v>
      </c>
      <c r="W69" s="98">
        <f t="shared" ca="1" si="18"/>
        <v>455.60701150123646</v>
      </c>
      <c r="X69" s="98"/>
      <c r="Y69" s="98"/>
      <c r="Z69" s="98"/>
      <c r="AA69" s="97">
        <f>EC!AP66</f>
        <v>1326.4187368465359</v>
      </c>
      <c r="AB69" s="97">
        <v>1405.4306434380217</v>
      </c>
      <c r="AC69" s="97">
        <f>EC!AR66</f>
        <v>1405.430643438021</v>
      </c>
      <c r="AD69" s="98">
        <f t="shared" si="22"/>
        <v>1782.566642538221</v>
      </c>
      <c r="AE69" s="98">
        <f t="shared" si="19"/>
        <v>1897.4071200111216</v>
      </c>
      <c r="AF69" s="98">
        <f t="shared" ca="1" si="19"/>
        <v>1861.0376549392574</v>
      </c>
    </row>
    <row r="70" spans="2:32" x14ac:dyDescent="0.35">
      <c r="B70" s="7" t="s">
        <v>8</v>
      </c>
      <c r="C70" s="97">
        <f>RoE!L13</f>
        <v>109.09769305260501</v>
      </c>
      <c r="D70" s="97">
        <f>RoE!M13</f>
        <v>103.78326918830462</v>
      </c>
      <c r="E70" s="97">
        <f>RoE!N13</f>
        <v>105.04451362098949</v>
      </c>
      <c r="F70" s="97">
        <f>IoL!AR13</f>
        <v>81.075684269653394</v>
      </c>
      <c r="G70" s="97">
        <f>IoL!AU13</f>
        <v>62.786766252071374</v>
      </c>
      <c r="H70" s="97">
        <f>IoL!AX13</f>
        <v>64.79772661267404</v>
      </c>
      <c r="I70" s="97">
        <f>'Depreciation (Summary)'!L13</f>
        <v>186.87798449947098</v>
      </c>
      <c r="J70" s="97">
        <f>'Depreciation (Summary)'!M13</f>
        <v>180.71855721510624</v>
      </c>
      <c r="K70" s="97">
        <f>'Depreciation (Summary)'!N13</f>
        <v>182.69517548090818</v>
      </c>
      <c r="L70" s="97">
        <f>'O&amp;M (Summary)'!G70</f>
        <v>136.33473262291321</v>
      </c>
      <c r="M70" s="97">
        <f>'O&amp;M (Summary)'!L70</f>
        <v>182.01308712589545</v>
      </c>
      <c r="N70" s="97">
        <f>'O&amp;M (Summary)'!Q70</f>
        <v>150.79398389383104</v>
      </c>
      <c r="O70" s="97">
        <f>IoWC!L13</f>
        <v>34.274725115236429</v>
      </c>
      <c r="P70" s="97">
        <f>IoWC!M13</f>
        <v>43.604456352104606</v>
      </c>
      <c r="Q70" s="97">
        <f ca="1">IoWC!N13</f>
        <v>45.633852318320614</v>
      </c>
      <c r="R70" s="97">
        <v>4.0999999999999996</v>
      </c>
      <c r="S70" s="97">
        <v>17.221508400796552</v>
      </c>
      <c r="T70" s="97">
        <f t="shared" si="20"/>
        <v>17.221508400796552</v>
      </c>
      <c r="U70" s="98">
        <f t="shared" si="21"/>
        <v>543.56081955987895</v>
      </c>
      <c r="V70" s="98">
        <f t="shared" si="18"/>
        <v>555.68462773268584</v>
      </c>
      <c r="W70" s="98">
        <f t="shared" ca="1" si="18"/>
        <v>531.74374352592679</v>
      </c>
      <c r="X70" s="98"/>
      <c r="Y70" s="98"/>
      <c r="Z70" s="98"/>
      <c r="AA70" s="97">
        <f>EC!AP67</f>
        <v>866.05929706517986</v>
      </c>
      <c r="AB70" s="97">
        <v>1293.8608476826912</v>
      </c>
      <c r="AC70" s="97">
        <f>EC!AR67</f>
        <v>1283.0154636895395</v>
      </c>
      <c r="AD70" s="98">
        <f t="shared" si="22"/>
        <v>1409.6201166250589</v>
      </c>
      <c r="AE70" s="98">
        <f t="shared" si="19"/>
        <v>1849.545475415377</v>
      </c>
      <c r="AF70" s="98">
        <f t="shared" ca="1" si="19"/>
        <v>1814.7592072154662</v>
      </c>
    </row>
    <row r="71" spans="2:32" x14ac:dyDescent="0.35">
      <c r="B71" s="7" t="s">
        <v>157</v>
      </c>
      <c r="C71" s="97">
        <f>RoE!L14</f>
        <v>182.60981974605156</v>
      </c>
      <c r="D71" s="97">
        <f>RoE!M14</f>
        <v>183.82237573245186</v>
      </c>
      <c r="E71" s="97">
        <f>RoE!N14</f>
        <v>183.23340069277211</v>
      </c>
      <c r="F71" s="97">
        <f>IoL!AR14</f>
        <v>195.64500815262119</v>
      </c>
      <c r="G71" s="97">
        <f>IoL!AU14</f>
        <v>197.57405145136067</v>
      </c>
      <c r="H71" s="97">
        <f>IoL!AX14</f>
        <v>196.95509441823179</v>
      </c>
      <c r="I71" s="97">
        <f>'Depreciation (Summary)'!L14</f>
        <v>340.96526833428385</v>
      </c>
      <c r="J71" s="97">
        <f>'Depreciation (Summary)'!M14</f>
        <v>347.25002523521493</v>
      </c>
      <c r="K71" s="97">
        <f>'Depreciation (Summary)'!N14</f>
        <v>346.1593204873999</v>
      </c>
      <c r="L71" s="97">
        <f>'O&amp;M (Summary)'!G71</f>
        <v>284.29796309126328</v>
      </c>
      <c r="M71" s="97">
        <f>'O&amp;M (Summary)'!L71</f>
        <v>271.40153701418427</v>
      </c>
      <c r="N71" s="97">
        <f>'O&amp;M (Summary)'!Q71</f>
        <v>249.29609532558348</v>
      </c>
      <c r="O71" s="97">
        <f>IoWC!L14</f>
        <v>85.865679500007715</v>
      </c>
      <c r="P71" s="97">
        <f>IoWC!M14</f>
        <v>78.591403020363799</v>
      </c>
      <c r="Q71" s="97">
        <f ca="1">IoWC!N14</f>
        <v>82.604162578679009</v>
      </c>
      <c r="R71" s="97">
        <v>14.87</v>
      </c>
      <c r="S71" s="97">
        <v>18.996218114380166</v>
      </c>
      <c r="T71" s="97">
        <f t="shared" si="20"/>
        <v>18.996218114380166</v>
      </c>
      <c r="U71" s="98">
        <f t="shared" si="21"/>
        <v>1074.5137388242276</v>
      </c>
      <c r="V71" s="98">
        <f t="shared" si="18"/>
        <v>1059.6431743391954</v>
      </c>
      <c r="W71" s="98">
        <f t="shared" ca="1" si="18"/>
        <v>1039.2518553882862</v>
      </c>
      <c r="X71" s="98"/>
      <c r="Y71" s="98"/>
      <c r="Z71" s="98"/>
      <c r="AA71" s="97">
        <f>EC!AP68</f>
        <v>2405.0854399992982</v>
      </c>
      <c r="AB71" s="97">
        <v>2310.7160312523702</v>
      </c>
      <c r="AC71" s="97">
        <f>EC!AR68</f>
        <v>2291.4738948260842</v>
      </c>
      <c r="AD71" s="98">
        <f t="shared" si="22"/>
        <v>3479.599178823526</v>
      </c>
      <c r="AE71" s="98">
        <f t="shared" si="19"/>
        <v>3370.3592055915656</v>
      </c>
      <c r="AF71" s="98">
        <f t="shared" ca="1" si="19"/>
        <v>3330.7257502143702</v>
      </c>
    </row>
    <row r="72" spans="2:32" x14ac:dyDescent="0.35">
      <c r="B72" s="7" t="s">
        <v>158</v>
      </c>
      <c r="C72" s="97">
        <f>RoE!L15</f>
        <v>394.67692717656621</v>
      </c>
      <c r="D72" s="97">
        <f>RoE!M15</f>
        <v>433.8667030142999</v>
      </c>
      <c r="E72" s="97">
        <f>RoE!N15</f>
        <v>427.33692238331366</v>
      </c>
      <c r="F72" s="97">
        <f>IoL!AR15</f>
        <v>565.44845380291304</v>
      </c>
      <c r="G72" s="97">
        <f>IoL!AU15</f>
        <v>621.22757694713641</v>
      </c>
      <c r="H72" s="97">
        <f>IoL!AX15</f>
        <v>614.38256244195168</v>
      </c>
      <c r="I72" s="97">
        <f>'Depreciation (Summary)'!L15</f>
        <v>650.39732075980555</v>
      </c>
      <c r="J72" s="97">
        <f>'Depreciation (Summary)'!M15</f>
        <v>705.72210335819898</v>
      </c>
      <c r="K72" s="97">
        <f>'Depreciation (Summary)'!N15</f>
        <v>697.51317800825291</v>
      </c>
      <c r="L72" s="97">
        <f>'O&amp;M (Summary)'!G72</f>
        <v>428.25284567611789</v>
      </c>
      <c r="M72" s="97">
        <f>'O&amp;M (Summary)'!L72</f>
        <v>514.60151076894681</v>
      </c>
      <c r="N72" s="97">
        <f>'O&amp;M (Summary)'!Q72</f>
        <v>451.66854053312733</v>
      </c>
      <c r="O72" s="97">
        <f>IoWC!L15</f>
        <v>103.36102527151219</v>
      </c>
      <c r="P72" s="97">
        <f>IoWC!M15</f>
        <v>144.83743042492898</v>
      </c>
      <c r="Q72" s="97">
        <f ca="1">IoWC!N15</f>
        <v>139.54142088160742</v>
      </c>
      <c r="R72" s="97">
        <v>7.27</v>
      </c>
      <c r="S72" s="97">
        <v>105.92827968341707</v>
      </c>
      <c r="T72" s="97">
        <f t="shared" si="20"/>
        <v>105.92827968341707</v>
      </c>
      <c r="U72" s="98">
        <f t="shared" si="21"/>
        <v>2134.8665726869149</v>
      </c>
      <c r="V72" s="98">
        <f t="shared" si="18"/>
        <v>2314.3270448300941</v>
      </c>
      <c r="W72" s="98">
        <f t="shared" ca="1" si="18"/>
        <v>2224.5143445648355</v>
      </c>
      <c r="X72" s="98"/>
      <c r="Y72" s="98"/>
      <c r="Z72" s="98"/>
      <c r="AA72" s="97">
        <f>EC!AP69</f>
        <v>2346.2910449843866</v>
      </c>
      <c r="AB72" s="97">
        <v>3612.4465485806486</v>
      </c>
      <c r="AC72" s="97">
        <f>EC!AR69</f>
        <v>3602.9261836098376</v>
      </c>
      <c r="AD72" s="98">
        <f t="shared" si="22"/>
        <v>4481.1576176713015</v>
      </c>
      <c r="AE72" s="98">
        <f t="shared" si="19"/>
        <v>5926.7735934107423</v>
      </c>
      <c r="AF72" s="98">
        <f t="shared" ca="1" si="19"/>
        <v>5827.4405281746731</v>
      </c>
    </row>
    <row r="73" spans="2:32" x14ac:dyDescent="0.35">
      <c r="B73" s="7" t="s">
        <v>159</v>
      </c>
      <c r="C73" s="97">
        <f>RoE!L16</f>
        <v>169.51513868498273</v>
      </c>
      <c r="D73" s="97">
        <f>RoE!M16</f>
        <v>178.2702170149247</v>
      </c>
      <c r="E73" s="97">
        <f>RoE!N16</f>
        <v>178.27007124401302</v>
      </c>
      <c r="F73" s="97">
        <f>IoL!AR16</f>
        <v>318.31690417089897</v>
      </c>
      <c r="G73" s="97">
        <f>IoL!AU16</f>
        <v>326.75644120858533</v>
      </c>
      <c r="H73" s="97">
        <f>IoL!AX16</f>
        <v>326.7564411691061</v>
      </c>
      <c r="I73" s="97">
        <f>'Depreciation (Summary)'!L16</f>
        <v>325.97459297398302</v>
      </c>
      <c r="J73" s="97">
        <f>'Depreciation (Summary)'!M16</f>
        <v>340.45219858892062</v>
      </c>
      <c r="K73" s="97">
        <f>'Depreciation (Summary)'!N16</f>
        <v>340.45204761448264</v>
      </c>
      <c r="L73" s="97">
        <f>'O&amp;M (Summary)'!G73</f>
        <v>253.76848504543798</v>
      </c>
      <c r="M73" s="97">
        <f>'O&amp;M (Summary)'!L73</f>
        <v>436.62532151442076</v>
      </c>
      <c r="N73" s="97">
        <f>'O&amp;M (Summary)'!Q73</f>
        <v>270.61040570897137</v>
      </c>
      <c r="O73" s="97">
        <f>IoWC!L16</f>
        <v>68.399192337052312</v>
      </c>
      <c r="P73" s="97">
        <f>IoWC!M16</f>
        <v>84.662927131239911</v>
      </c>
      <c r="Q73" s="97">
        <f ca="1">IoWC!N16</f>
        <v>87.596574981234298</v>
      </c>
      <c r="R73" s="97">
        <v>15.14</v>
      </c>
      <c r="S73" s="97">
        <v>16.090127414383563</v>
      </c>
      <c r="T73" s="97">
        <f t="shared" si="20"/>
        <v>16.090127414383563</v>
      </c>
      <c r="U73" s="98">
        <f t="shared" si="21"/>
        <v>1120.8343132123548</v>
      </c>
      <c r="V73" s="98">
        <f t="shared" si="18"/>
        <v>1350.676978043708</v>
      </c>
      <c r="W73" s="98">
        <f t="shared" ca="1" si="18"/>
        <v>1187.595413303424</v>
      </c>
      <c r="X73" s="98"/>
      <c r="Y73" s="98"/>
      <c r="Z73" s="98"/>
      <c r="AA73" s="97">
        <f>EC!AP70</f>
        <v>1761.2406519861772</v>
      </c>
      <c r="AB73" s="97">
        <v>2436.0944381600211</v>
      </c>
      <c r="AC73" s="97">
        <f>EC!AR70</f>
        <v>2419.6120528882825</v>
      </c>
      <c r="AD73" s="98">
        <f t="shared" si="22"/>
        <v>2882.074965198532</v>
      </c>
      <c r="AE73" s="98">
        <f t="shared" si="19"/>
        <v>3786.7714162037291</v>
      </c>
      <c r="AF73" s="98">
        <f t="shared" ca="1" si="19"/>
        <v>3607.2074661917068</v>
      </c>
    </row>
    <row r="74" spans="2:32" x14ac:dyDescent="0.35">
      <c r="B74" s="7" t="s">
        <v>160</v>
      </c>
      <c r="C74" s="97">
        <f>RoE!L17</f>
        <v>57.285806634149715</v>
      </c>
      <c r="D74" s="97">
        <f>RoE!M17</f>
        <v>56.87221026438273</v>
      </c>
      <c r="E74" s="97">
        <f>RoE!N17</f>
        <v>56.869355296532667</v>
      </c>
      <c r="F74" s="97">
        <f>IoL!AR17</f>
        <v>99.688833479507736</v>
      </c>
      <c r="G74" s="97">
        <f>IoL!AU17</f>
        <v>104.53469565644521</v>
      </c>
      <c r="H74" s="97">
        <f>IoL!AX17</f>
        <v>104.53040242260579</v>
      </c>
      <c r="I74" s="97">
        <f>'Depreciation (Summary)'!L17</f>
        <v>97.760219788638111</v>
      </c>
      <c r="J74" s="97">
        <f>'Depreciation (Summary)'!M17</f>
        <v>98.22882881431353</v>
      </c>
      <c r="K74" s="97">
        <f>'Depreciation (Summary)'!N17</f>
        <v>98.225484671210936</v>
      </c>
      <c r="L74" s="97">
        <f>'O&amp;M (Summary)'!G74</f>
        <v>108.29885230757326</v>
      </c>
      <c r="M74" s="97">
        <f>'O&amp;M (Summary)'!L74</f>
        <v>94.756044457845633</v>
      </c>
      <c r="N74" s="97">
        <f>'O&amp;M (Summary)'!Q74</f>
        <v>94.446888377027278</v>
      </c>
      <c r="O74" s="97">
        <f>IoWC!L17</f>
        <v>23.278127023285048</v>
      </c>
      <c r="P74" s="97">
        <f>IoWC!M17</f>
        <v>21.456220536250811</v>
      </c>
      <c r="Q74" s="97">
        <f ca="1">IoWC!N17</f>
        <v>22.76011032477841</v>
      </c>
      <c r="R74" s="97">
        <v>1.08</v>
      </c>
      <c r="S74" s="97">
        <v>1.631604741666667</v>
      </c>
      <c r="T74" s="97">
        <f t="shared" si="20"/>
        <v>1.631604741666667</v>
      </c>
      <c r="U74" s="98">
        <f t="shared" si="21"/>
        <v>385.23183923315389</v>
      </c>
      <c r="V74" s="98">
        <f t="shared" si="18"/>
        <v>374.21639498757128</v>
      </c>
      <c r="W74" s="98">
        <f t="shared" ca="1" si="18"/>
        <v>375.20063635048842</v>
      </c>
      <c r="X74" s="98"/>
      <c r="Y74" s="98"/>
      <c r="Z74" s="98"/>
      <c r="AA74" s="97">
        <f>EC!AP71</f>
        <v>599.70302539308932</v>
      </c>
      <c r="AB74" s="97">
        <v>585.07062678073464</v>
      </c>
      <c r="AC74" s="97">
        <f>EC!AR71</f>
        <v>585.07062678073476</v>
      </c>
      <c r="AD74" s="98">
        <f t="shared" si="22"/>
        <v>984.93486462624321</v>
      </c>
      <c r="AE74" s="98">
        <f t="shared" si="19"/>
        <v>959.28702176830598</v>
      </c>
      <c r="AF74" s="98">
        <f t="shared" ca="1" si="19"/>
        <v>960.27126313122312</v>
      </c>
    </row>
    <row r="75" spans="2:32" x14ac:dyDescent="0.35">
      <c r="B75" s="7" t="s">
        <v>161</v>
      </c>
      <c r="C75" s="97">
        <f>RoE!L18</f>
        <v>12.27821721537121</v>
      </c>
      <c r="D75" s="97">
        <f>RoE!M18</f>
        <v>6.2048852394559848</v>
      </c>
      <c r="E75" s="97">
        <f>RoE!N18</f>
        <v>5.949390319411985</v>
      </c>
      <c r="F75" s="97">
        <f>IoL!AR18</f>
        <v>13.746385645152557</v>
      </c>
      <c r="G75" s="97">
        <f>IoL!AU18</f>
        <v>3.6984565533164204</v>
      </c>
      <c r="H75" s="97">
        <f>IoL!AX18</f>
        <v>1.9308531537071956</v>
      </c>
      <c r="I75" s="97">
        <f>'Depreciation (Summary)'!L18</f>
        <v>25.824601873741624</v>
      </c>
      <c r="J75" s="97">
        <f>'Depreciation (Summary)'!M18</f>
        <v>10.52872249027522</v>
      </c>
      <c r="K75" s="97">
        <f>'Depreciation (Summary)'!N18</f>
        <v>11.708729755678457</v>
      </c>
      <c r="L75" s="97">
        <f>'O&amp;M (Summary)'!G75</f>
        <v>227.1771935688185</v>
      </c>
      <c r="M75" s="97">
        <f>'O&amp;M (Summary)'!L75</f>
        <v>289.99349291169892</v>
      </c>
      <c r="N75" s="97">
        <f>'O&amp;M (Summary)'!Q75</f>
        <v>242.14661928223552</v>
      </c>
      <c r="O75" s="97">
        <f>IoWC!L18</f>
        <v>12.16289135015008</v>
      </c>
      <c r="P75" s="97">
        <f>IoWC!M18</f>
        <v>11.91</v>
      </c>
      <c r="Q75" s="97">
        <f ca="1">IoWC!N18</f>
        <v>11.636463113886384</v>
      </c>
      <c r="R75" s="97">
        <v>4.76</v>
      </c>
      <c r="S75" s="97">
        <v>3.4662285277000002</v>
      </c>
      <c r="T75" s="97">
        <f t="shared" si="20"/>
        <v>3.4662285277000002</v>
      </c>
      <c r="U75" s="98">
        <f t="shared" si="21"/>
        <v>286.42928965323398</v>
      </c>
      <c r="V75" s="98">
        <f t="shared" si="18"/>
        <v>318.86932866704655</v>
      </c>
      <c r="W75" s="98">
        <f t="shared" ca="1" si="18"/>
        <v>269.90582709721951</v>
      </c>
      <c r="X75" s="97">
        <v>541.19000000000005</v>
      </c>
      <c r="Y75" s="97">
        <v>541.19000000000005</v>
      </c>
      <c r="Z75" s="97">
        <f>X75</f>
        <v>541.19000000000005</v>
      </c>
      <c r="AA75" s="97"/>
      <c r="AB75" s="97"/>
      <c r="AC75" s="97"/>
      <c r="AD75" s="98">
        <f t="shared" si="22"/>
        <v>827.61928965323409</v>
      </c>
      <c r="AE75" s="98">
        <f t="shared" si="19"/>
        <v>860.05932866704666</v>
      </c>
      <c r="AF75" s="98">
        <f t="shared" ca="1" si="19"/>
        <v>811.09582709721963</v>
      </c>
    </row>
    <row r="76" spans="2:32" x14ac:dyDescent="0.35">
      <c r="B76" s="12" t="s">
        <v>27</v>
      </c>
      <c r="C76" s="98">
        <f>SUM(C62:C75)</f>
        <v>1620.5367432464966</v>
      </c>
      <c r="D76" s="98">
        <f>SUM(D62:D75)</f>
        <v>1627.2786379044833</v>
      </c>
      <c r="E76" s="98">
        <f t="shared" ref="E76:AF76" si="23">SUM(E62:E75)</f>
        <v>1618.7232229892434</v>
      </c>
      <c r="F76" s="98">
        <f t="shared" si="23"/>
        <v>1417.9634292694213</v>
      </c>
      <c r="G76" s="98">
        <f t="shared" si="23"/>
        <v>1459.8113981863744</v>
      </c>
      <c r="H76" s="98">
        <f t="shared" si="23"/>
        <v>1453.1606934294709</v>
      </c>
      <c r="I76" s="98">
        <f t="shared" si="23"/>
        <v>2050.7545432048546</v>
      </c>
      <c r="J76" s="98">
        <f t="shared" si="23"/>
        <v>2059.4293241495407</v>
      </c>
      <c r="K76" s="98">
        <f t="shared" si="23"/>
        <v>2034.4097065697365</v>
      </c>
      <c r="L76" s="98">
        <f t="shared" si="23"/>
        <v>3666.1861028826847</v>
      </c>
      <c r="M76" s="98">
        <f t="shared" si="23"/>
        <v>4028.8777059104123</v>
      </c>
      <c r="N76" s="98">
        <f t="shared" si="23"/>
        <v>3686.3754116312816</v>
      </c>
      <c r="O76" s="98">
        <f t="shared" si="23"/>
        <v>661.90091826210937</v>
      </c>
      <c r="P76" s="98">
        <f t="shared" si="23"/>
        <v>751.64722519275495</v>
      </c>
      <c r="Q76" s="98">
        <f t="shared" ca="1" si="23"/>
        <v>789.87500089730736</v>
      </c>
      <c r="R76" s="98">
        <f t="shared" si="23"/>
        <v>99.12</v>
      </c>
      <c r="S76" s="98">
        <f t="shared" si="23"/>
        <v>260.26576436908323</v>
      </c>
      <c r="T76" s="98">
        <f t="shared" si="23"/>
        <v>260.26576436908323</v>
      </c>
      <c r="U76" s="98">
        <f t="shared" si="23"/>
        <v>9318.2217368655656</v>
      </c>
      <c r="V76" s="98">
        <f t="shared" si="23"/>
        <v>9666.7785269744818</v>
      </c>
      <c r="W76" s="98">
        <f t="shared" ca="1" si="23"/>
        <v>9322.2782711479576</v>
      </c>
      <c r="X76" s="98">
        <f t="shared" si="23"/>
        <v>541.19000000000005</v>
      </c>
      <c r="Y76" s="98">
        <f t="shared" si="23"/>
        <v>541.19000000000005</v>
      </c>
      <c r="Z76" s="98">
        <f t="shared" si="23"/>
        <v>541.19000000000005</v>
      </c>
      <c r="AA76" s="98">
        <f t="shared" si="23"/>
        <v>17492.417481136945</v>
      </c>
      <c r="AB76" s="98">
        <f t="shared" si="23"/>
        <v>21795.260619708697</v>
      </c>
      <c r="AC76" s="98">
        <f t="shared" si="23"/>
        <v>22108.990204427999</v>
      </c>
      <c r="AD76" s="98">
        <f t="shared" si="23"/>
        <v>27351.829218002513</v>
      </c>
      <c r="AE76" s="98">
        <f t="shared" si="23"/>
        <v>32003.229146683178</v>
      </c>
      <c r="AF76" s="98">
        <f t="shared" ca="1" si="23"/>
        <v>31972.458475575957</v>
      </c>
    </row>
    <row r="78" spans="2:32" x14ac:dyDescent="0.35">
      <c r="B78" s="3" t="s">
        <v>35</v>
      </c>
      <c r="AF78" s="3" t="s">
        <v>164</v>
      </c>
    </row>
    <row r="79" spans="2:32" ht="15.75" customHeight="1" x14ac:dyDescent="0.35">
      <c r="B79" s="187" t="s">
        <v>170</v>
      </c>
      <c r="C79" s="178" t="s">
        <v>196</v>
      </c>
      <c r="D79" s="196"/>
      <c r="E79" s="179"/>
      <c r="F79" s="178" t="s">
        <v>48</v>
      </c>
      <c r="G79" s="196"/>
      <c r="H79" s="179"/>
      <c r="I79" s="178" t="s">
        <v>24</v>
      </c>
      <c r="J79" s="196"/>
      <c r="K79" s="179"/>
      <c r="L79" s="178" t="s">
        <v>243</v>
      </c>
      <c r="M79" s="196"/>
      <c r="N79" s="179"/>
      <c r="O79" s="178" t="s">
        <v>26</v>
      </c>
      <c r="P79" s="196"/>
      <c r="Q79" s="179"/>
      <c r="R79" s="178" t="s">
        <v>366</v>
      </c>
      <c r="S79" s="196"/>
      <c r="T79" s="179"/>
      <c r="U79" s="178" t="s">
        <v>367</v>
      </c>
      <c r="V79" s="196"/>
      <c r="W79" s="179"/>
      <c r="X79" s="178" t="s">
        <v>368</v>
      </c>
      <c r="Y79" s="196"/>
      <c r="Z79" s="179"/>
      <c r="AA79" s="178" t="s">
        <v>369</v>
      </c>
      <c r="AB79" s="196"/>
      <c r="AC79" s="179"/>
      <c r="AD79" s="178" t="s">
        <v>370</v>
      </c>
      <c r="AE79" s="196"/>
      <c r="AF79" s="179"/>
    </row>
    <row r="80" spans="2:32" ht="30" x14ac:dyDescent="0.35">
      <c r="B80" s="187"/>
      <c r="C80" s="96" t="s">
        <v>172</v>
      </c>
      <c r="D80" s="6" t="s">
        <v>131</v>
      </c>
      <c r="E80" s="6" t="s">
        <v>372</v>
      </c>
      <c r="F80" s="96" t="s">
        <v>172</v>
      </c>
      <c r="G80" s="6" t="s">
        <v>131</v>
      </c>
      <c r="H80" s="6" t="s">
        <v>372</v>
      </c>
      <c r="I80" s="96" t="s">
        <v>172</v>
      </c>
      <c r="J80" s="6" t="s">
        <v>131</v>
      </c>
      <c r="K80" s="6" t="s">
        <v>372</v>
      </c>
      <c r="L80" s="96" t="s">
        <v>172</v>
      </c>
      <c r="M80" s="6" t="s">
        <v>131</v>
      </c>
      <c r="N80" s="6" t="s">
        <v>372</v>
      </c>
      <c r="O80" s="96" t="s">
        <v>172</v>
      </c>
      <c r="P80" s="6" t="s">
        <v>131</v>
      </c>
      <c r="Q80" s="6" t="s">
        <v>372</v>
      </c>
      <c r="R80" s="96" t="s">
        <v>172</v>
      </c>
      <c r="S80" s="6" t="s">
        <v>131</v>
      </c>
      <c r="T80" s="6" t="s">
        <v>372</v>
      </c>
      <c r="U80" s="96" t="s">
        <v>172</v>
      </c>
      <c r="V80" s="6" t="s">
        <v>131</v>
      </c>
      <c r="W80" s="6" t="s">
        <v>372</v>
      </c>
      <c r="X80" s="96" t="s">
        <v>172</v>
      </c>
      <c r="Y80" s="6" t="s">
        <v>131</v>
      </c>
      <c r="Z80" s="6" t="s">
        <v>372</v>
      </c>
      <c r="AA80" s="96" t="s">
        <v>172</v>
      </c>
      <c r="AB80" s="6" t="s">
        <v>131</v>
      </c>
      <c r="AC80" s="6" t="s">
        <v>372</v>
      </c>
      <c r="AD80" s="96" t="s">
        <v>172</v>
      </c>
      <c r="AE80" s="6" t="s">
        <v>131</v>
      </c>
      <c r="AF80" s="6" t="s">
        <v>372</v>
      </c>
    </row>
    <row r="81" spans="2:32" x14ac:dyDescent="0.35">
      <c r="B81" s="7" t="s">
        <v>43</v>
      </c>
      <c r="C81" s="97">
        <f>RoE!O5</f>
        <v>14.098659658341388</v>
      </c>
      <c r="D81" s="97">
        <f>RoE!P5</f>
        <v>13.519458955167325</v>
      </c>
      <c r="E81" s="97">
        <f>RoE!Q5</f>
        <v>13.519243431789326</v>
      </c>
      <c r="F81" s="97">
        <f>IoL!BE5</f>
        <v>0.43443909104356321</v>
      </c>
      <c r="G81" s="97">
        <f>IoL!BH5</f>
        <v>0.28701044119787716</v>
      </c>
      <c r="H81" s="97">
        <f>IoL!BK5</f>
        <v>0.28701044119787716</v>
      </c>
      <c r="I81" s="97">
        <f>'Depreciation (Summary)'!O5</f>
        <v>21.010431326188527</v>
      </c>
      <c r="J81" s="97">
        <f>'Depreciation (Summary)'!P5</f>
        <v>21.840515559301199</v>
      </c>
      <c r="K81" s="97">
        <f>'Depreciation (Summary)'!Q5</f>
        <v>19.242023607733216</v>
      </c>
      <c r="L81" s="97">
        <f>'O&amp;M (Summary)'!G81</f>
        <v>120.0653102560828</v>
      </c>
      <c r="M81" s="97">
        <f>'O&amp;M (Summary)'!L81</f>
        <v>124.08287614287524</v>
      </c>
      <c r="N81" s="97">
        <f>'O&amp;M (Summary)'!Q81</f>
        <v>123.40257877114976</v>
      </c>
      <c r="O81" s="97">
        <f>IoWC!O5</f>
        <v>16.227395331751502</v>
      </c>
      <c r="P81" s="97">
        <f>IoWC!P5</f>
        <v>18.515916356614305</v>
      </c>
      <c r="Q81" s="97">
        <f ca="1">IoWC!Q5</f>
        <v>19.001893089307703</v>
      </c>
      <c r="R81" s="97">
        <v>2.73</v>
      </c>
      <c r="S81" s="97">
        <v>1.7770808210402742</v>
      </c>
      <c r="T81" s="97">
        <f>S81</f>
        <v>1.7770808210402742</v>
      </c>
      <c r="U81" s="98">
        <f>C81+F81+I81+L81+O81-R81</f>
        <v>169.10623566340777</v>
      </c>
      <c r="V81" s="98">
        <f t="shared" ref="V81:W94" si="24">D81+G81+J81+M81+P81-S81</f>
        <v>176.46869663411564</v>
      </c>
      <c r="W81" s="98">
        <f t="shared" ca="1" si="24"/>
        <v>173.67566852013761</v>
      </c>
      <c r="X81" s="98"/>
      <c r="Y81" s="98"/>
      <c r="Z81" s="98"/>
      <c r="AA81" s="97">
        <f>EC!AP77</f>
        <v>482.47965703474995</v>
      </c>
      <c r="AB81" s="97">
        <f>EC!AQ77</f>
        <v>596.69992648484663</v>
      </c>
      <c r="AC81" s="97">
        <f>EC!AR77</f>
        <v>577.38823249397922</v>
      </c>
      <c r="AD81" s="98">
        <f>U81+X81+AA81</f>
        <v>651.58589269815775</v>
      </c>
      <c r="AE81" s="98">
        <f t="shared" ref="AE81:AF94" si="25">V81+Y81+AB81</f>
        <v>773.16862311896227</v>
      </c>
      <c r="AF81" s="98">
        <f t="shared" ca="1" si="25"/>
        <v>751.06390101411682</v>
      </c>
    </row>
    <row r="82" spans="2:32" x14ac:dyDescent="0.35">
      <c r="B82" s="7" t="s">
        <v>150</v>
      </c>
      <c r="C82" s="97">
        <f>RoE!O6</f>
        <v>128.66419072432396</v>
      </c>
      <c r="D82" s="97">
        <f>RoE!P6</f>
        <v>146.49974653899852</v>
      </c>
      <c r="E82" s="97">
        <f>RoE!Q6</f>
        <v>139.07667193667052</v>
      </c>
      <c r="F82" s="97">
        <f>IoL!BE6</f>
        <v>51.432200255427276</v>
      </c>
      <c r="G82" s="97">
        <f>IoL!BH6</f>
        <v>73.533887152750466</v>
      </c>
      <c r="H82" s="97">
        <f>IoL!BK6</f>
        <v>63.602678143316112</v>
      </c>
      <c r="I82" s="97">
        <f>'Depreciation (Summary)'!O6</f>
        <v>71.595862850499714</v>
      </c>
      <c r="J82" s="97">
        <f>'Depreciation (Summary)'!P6</f>
        <v>144.67842052108455</v>
      </c>
      <c r="K82" s="97">
        <f>'Depreciation (Summary)'!Q6</f>
        <v>107.42842972514664</v>
      </c>
      <c r="L82" s="97">
        <f>'O&amp;M (Summary)'!G82</f>
        <v>710.92572405541853</v>
      </c>
      <c r="M82" s="97">
        <f>'O&amp;M (Summary)'!L82</f>
        <v>709.85776315089197</v>
      </c>
      <c r="N82" s="97">
        <f>'O&amp;M (Summary)'!Q82</f>
        <v>709.18969015089215</v>
      </c>
      <c r="O82" s="97">
        <f>IoWC!O6</f>
        <v>97.62114174587181</v>
      </c>
      <c r="P82" s="97">
        <f>IoWC!P6</f>
        <v>152.65979099545785</v>
      </c>
      <c r="Q82" s="97">
        <f ca="1">IoWC!Q6</f>
        <v>140.19449442922883</v>
      </c>
      <c r="R82" s="97">
        <v>19.600000000000001</v>
      </c>
      <c r="S82" s="97">
        <v>6.381133915946541</v>
      </c>
      <c r="T82" s="97">
        <f t="shared" ref="T82:T94" si="26">S82</f>
        <v>6.381133915946541</v>
      </c>
      <c r="U82" s="98">
        <f t="shared" ref="U82:U94" si="27">C82+F82+I82+L82+O82-R82</f>
        <v>1040.6391196315415</v>
      </c>
      <c r="V82" s="98">
        <f t="shared" si="24"/>
        <v>1220.8484744432369</v>
      </c>
      <c r="W82" s="98">
        <f t="shared" ca="1" si="24"/>
        <v>1153.1108304693078</v>
      </c>
      <c r="X82" s="98"/>
      <c r="Y82" s="98"/>
      <c r="Z82" s="98"/>
      <c r="AA82" s="97">
        <f>EC!AP78</f>
        <v>2848.7646453473285</v>
      </c>
      <c r="AB82" s="97">
        <f>EC!AQ78</f>
        <v>5097.9689509888321</v>
      </c>
      <c r="AC82" s="97">
        <f>EC!AR78</f>
        <v>4334.6185179535787</v>
      </c>
      <c r="AD82" s="98">
        <f t="shared" ref="AD82:AD94" si="28">U82+X82+AA82</f>
        <v>3889.4037649788697</v>
      </c>
      <c r="AE82" s="98">
        <f t="shared" si="25"/>
        <v>6318.8174254320693</v>
      </c>
      <c r="AF82" s="98">
        <f t="shared" ca="1" si="25"/>
        <v>5487.7293484228867</v>
      </c>
    </row>
    <row r="83" spans="2:32" x14ac:dyDescent="0.35">
      <c r="B83" s="7" t="s">
        <v>151</v>
      </c>
      <c r="C83" s="97">
        <f>RoE!O7</f>
        <v>153.28194446357682</v>
      </c>
      <c r="D83" s="97">
        <f>RoE!P7</f>
        <v>153.23342272635588</v>
      </c>
      <c r="E83" s="97">
        <f>RoE!Q7</f>
        <v>148.42873888033785</v>
      </c>
      <c r="F83" s="97">
        <f>IoL!BE7</f>
        <v>21.157495920008433</v>
      </c>
      <c r="G83" s="97">
        <f>IoL!BH7</f>
        <v>22.773307184979181</v>
      </c>
      <c r="H83" s="97">
        <f>IoL!BK7</f>
        <v>18.654989336785821</v>
      </c>
      <c r="I83" s="97">
        <f>'Depreciation (Summary)'!O7</f>
        <v>44.240978819149092</v>
      </c>
      <c r="J83" s="97">
        <f>'Depreciation (Summary)'!P7</f>
        <v>135.06192361978711</v>
      </c>
      <c r="K83" s="97">
        <f>'Depreciation (Summary)'!Q7</f>
        <v>57.800979722515564</v>
      </c>
      <c r="L83" s="97">
        <f>'O&amp;M (Summary)'!G83</f>
        <v>331.60360533911734</v>
      </c>
      <c r="M83" s="97">
        <f>'O&amp;M (Summary)'!L83</f>
        <v>340.00179523523997</v>
      </c>
      <c r="N83" s="97">
        <f>'O&amp;M (Summary)'!Q83</f>
        <v>395.55114323523998</v>
      </c>
      <c r="O83" s="97">
        <f>IoWC!O7</f>
        <v>48.202428646682634</v>
      </c>
      <c r="P83" s="97">
        <f>IoWC!P7</f>
        <v>69.456585856462638</v>
      </c>
      <c r="Q83" s="97">
        <f ca="1">IoWC!Q7</f>
        <v>69.797863670597351</v>
      </c>
      <c r="R83" s="97">
        <v>5.16</v>
      </c>
      <c r="S83" s="97">
        <v>13.273777894280157</v>
      </c>
      <c r="T83" s="97">
        <f t="shared" si="26"/>
        <v>13.273777894280157</v>
      </c>
      <c r="U83" s="98">
        <f t="shared" si="27"/>
        <v>593.3264531885344</v>
      </c>
      <c r="V83" s="98">
        <f t="shared" si="24"/>
        <v>707.25325672854478</v>
      </c>
      <c r="W83" s="98">
        <f t="shared" ca="1" si="24"/>
        <v>676.95993695119648</v>
      </c>
      <c r="X83" s="98"/>
      <c r="Y83" s="98"/>
      <c r="Z83" s="98"/>
      <c r="AA83" s="97">
        <f>EC!AP79</f>
        <v>1347.3049544299424</v>
      </c>
      <c r="AB83" s="97">
        <f>EC!AQ79</f>
        <v>2233.7025740843483</v>
      </c>
      <c r="AC83" s="97">
        <f>EC!AR79</f>
        <v>2087.0177446809275</v>
      </c>
      <c r="AD83" s="98">
        <f t="shared" si="28"/>
        <v>1940.6314076184767</v>
      </c>
      <c r="AE83" s="98">
        <f t="shared" si="25"/>
        <v>2940.9558308128931</v>
      </c>
      <c r="AF83" s="98">
        <f t="shared" ca="1" si="25"/>
        <v>2763.9776816321241</v>
      </c>
    </row>
    <row r="84" spans="2:32" x14ac:dyDescent="0.35">
      <c r="B84" s="7" t="s">
        <v>44</v>
      </c>
      <c r="C84" s="97">
        <f>RoE!O8</f>
        <v>51.088225133770045</v>
      </c>
      <c r="D84" s="97">
        <f>RoE!P8</f>
        <v>41.03130072650228</v>
      </c>
      <c r="E84" s="97">
        <f>RoE!Q8</f>
        <v>40.105354948276293</v>
      </c>
      <c r="F84" s="97">
        <f>IoL!BE8</f>
        <v>13.429761466416075</v>
      </c>
      <c r="G84" s="97">
        <f>IoL!BH8</f>
        <v>17.468358720639937</v>
      </c>
      <c r="H84" s="97">
        <f>IoL!BK8</f>
        <v>19.83135089837916</v>
      </c>
      <c r="I84" s="97">
        <f>'Depreciation (Summary)'!O8</f>
        <v>80.790216156272621</v>
      </c>
      <c r="J84" s="97">
        <f>'Depreciation (Summary)'!P8</f>
        <v>67.387388568350744</v>
      </c>
      <c r="K84" s="97">
        <f>'Depreciation (Summary)'!Q8</f>
        <v>36.587171687895555</v>
      </c>
      <c r="L84" s="97">
        <f>'O&amp;M (Summary)'!G84</f>
        <v>231.71051274211149</v>
      </c>
      <c r="M84" s="97">
        <f>'O&amp;M (Summary)'!L84</f>
        <v>250.19688685427732</v>
      </c>
      <c r="N84" s="97">
        <f>'O&amp;M (Summary)'!Q84</f>
        <v>247.83773599802248</v>
      </c>
      <c r="O84" s="97">
        <f>IoWC!O8</f>
        <v>18.479836153699804</v>
      </c>
      <c r="P84" s="97">
        <f>IoWC!P8</f>
        <v>19.444454682436312</v>
      </c>
      <c r="Q84" s="97">
        <f ca="1">IoWC!Q8</f>
        <v>17.180182776951682</v>
      </c>
      <c r="R84" s="97">
        <v>1.6</v>
      </c>
      <c r="S84" s="97">
        <v>63.011598528001883</v>
      </c>
      <c r="T84" s="97">
        <f t="shared" si="26"/>
        <v>63.011598528001883</v>
      </c>
      <c r="U84" s="98">
        <f t="shared" si="27"/>
        <v>393.89855165227004</v>
      </c>
      <c r="V84" s="98">
        <f t="shared" si="24"/>
        <v>332.51679102420474</v>
      </c>
      <c r="W84" s="98">
        <f t="shared" ca="1" si="24"/>
        <v>298.53019778152338</v>
      </c>
      <c r="X84" s="98"/>
      <c r="Y84" s="98"/>
      <c r="Z84" s="98"/>
      <c r="AA84" s="97">
        <f>EC!AP80</f>
        <v>397.27407111661694</v>
      </c>
      <c r="AB84" s="97">
        <f>EC!AQ80</f>
        <v>518.07551561281684</v>
      </c>
      <c r="AC84" s="97">
        <f>EC!AR80</f>
        <v>393.10579960934575</v>
      </c>
      <c r="AD84" s="98">
        <f t="shared" si="28"/>
        <v>791.17262276888698</v>
      </c>
      <c r="AE84" s="98">
        <f t="shared" si="25"/>
        <v>850.59230663702158</v>
      </c>
      <c r="AF84" s="98">
        <f t="shared" ca="1" si="25"/>
        <v>691.63599739086908</v>
      </c>
    </row>
    <row r="85" spans="2:32" x14ac:dyDescent="0.35">
      <c r="B85" s="7" t="s">
        <v>152</v>
      </c>
      <c r="C85" s="97">
        <f>RoE!O9</f>
        <v>39.057648878143723</v>
      </c>
      <c r="D85" s="97">
        <f>RoE!P9</f>
        <v>36.333019268943673</v>
      </c>
      <c r="E85" s="97">
        <f>RoE!Q9</f>
        <v>35.846021351691675</v>
      </c>
      <c r="F85" s="97">
        <f>IoL!BE9</f>
        <v>0.65881534756534477</v>
      </c>
      <c r="G85" s="97">
        <f>IoL!BH9</f>
        <v>0.98590407682400583</v>
      </c>
      <c r="H85" s="97">
        <f>IoL!BK9</f>
        <v>2.7410156755888826</v>
      </c>
      <c r="I85" s="97">
        <f>'Depreciation (Summary)'!O9</f>
        <v>35.114727764317003</v>
      </c>
      <c r="J85" s="97">
        <f>'Depreciation (Summary)'!P9</f>
        <v>52.300161482973742</v>
      </c>
      <c r="K85" s="97">
        <f>'Depreciation (Summary)'!Q9</f>
        <v>33.883339643352166</v>
      </c>
      <c r="L85" s="97">
        <f>'O&amp;M (Summary)'!G85</f>
        <v>390.22769914165804</v>
      </c>
      <c r="M85" s="97">
        <f>'O&amp;M (Summary)'!L85</f>
        <v>346.06558742043819</v>
      </c>
      <c r="N85" s="97">
        <f>'O&amp;M (Summary)'!Q85</f>
        <v>345.23856542043819</v>
      </c>
      <c r="O85" s="97">
        <f>IoWC!O9</f>
        <v>48.042314827429287</v>
      </c>
      <c r="P85" s="97">
        <f>IoWC!P9</f>
        <v>59.659628899426501</v>
      </c>
      <c r="Q85" s="97">
        <f ca="1">IoWC!Q9</f>
        <v>58.556525042324139</v>
      </c>
      <c r="R85" s="97">
        <v>12.54</v>
      </c>
      <c r="S85" s="97">
        <v>4.7391989647996677</v>
      </c>
      <c r="T85" s="97">
        <f t="shared" si="26"/>
        <v>4.7391989647996677</v>
      </c>
      <c r="U85" s="98">
        <f t="shared" si="27"/>
        <v>500.56120595911335</v>
      </c>
      <c r="V85" s="98">
        <f t="shared" si="24"/>
        <v>490.60510218380642</v>
      </c>
      <c r="W85" s="98">
        <f t="shared" ca="1" si="24"/>
        <v>471.52626816859544</v>
      </c>
      <c r="X85" s="98"/>
      <c r="Y85" s="98"/>
      <c r="Z85" s="98"/>
      <c r="AA85" s="97">
        <f>EC!AP81</f>
        <v>1442.1948912</v>
      </c>
      <c r="AB85" s="97">
        <f>EC!AQ81</f>
        <v>2001.4005459047057</v>
      </c>
      <c r="AC85" s="97">
        <f>EC!AR81</f>
        <v>1836.2823363995171</v>
      </c>
      <c r="AD85" s="98">
        <f t="shared" si="28"/>
        <v>1942.7560971591133</v>
      </c>
      <c r="AE85" s="98">
        <f t="shared" si="25"/>
        <v>2492.0056480885123</v>
      </c>
      <c r="AF85" s="98">
        <f t="shared" ca="1" si="25"/>
        <v>2307.8086045681125</v>
      </c>
    </row>
    <row r="86" spans="2:32" x14ac:dyDescent="0.35">
      <c r="B86" s="7" t="s">
        <v>154</v>
      </c>
      <c r="C86" s="97">
        <f>RoE!O10</f>
        <v>47.648400849653804</v>
      </c>
      <c r="D86" s="97">
        <f>RoE!P10</f>
        <v>45.497394827972101</v>
      </c>
      <c r="E86" s="97">
        <f>RoE!Q10</f>
        <v>45.497541562154105</v>
      </c>
      <c r="F86" s="97">
        <f>IoL!BE10</f>
        <v>9.8261091823235063</v>
      </c>
      <c r="G86" s="97">
        <f>IoL!BH10</f>
        <v>14.787188883476952</v>
      </c>
      <c r="H86" s="97">
        <f>IoL!BK10</f>
        <v>11.669932357204516</v>
      </c>
      <c r="I86" s="97">
        <f>'Depreciation (Summary)'!O10</f>
        <v>36.075718970116675</v>
      </c>
      <c r="J86" s="97">
        <f>'Depreciation (Summary)'!P10</f>
        <v>28.108784754386456</v>
      </c>
      <c r="K86" s="97">
        <f>'Depreciation (Summary)'!Q10</f>
        <v>66.863004021804869</v>
      </c>
      <c r="L86" s="97">
        <f>'O&amp;M (Summary)'!G86</f>
        <v>94.200722089877658</v>
      </c>
      <c r="M86" s="97">
        <f>'O&amp;M (Summary)'!L86</f>
        <v>103.11600489710418</v>
      </c>
      <c r="N86" s="97">
        <f>'O&amp;M (Summary)'!Q86</f>
        <v>103.04779689710419</v>
      </c>
      <c r="O86" s="97">
        <f>IoWC!O10</f>
        <v>27.517836227152728</v>
      </c>
      <c r="P86" s="97">
        <f>IoWC!P10</f>
        <v>36.479566066485113</v>
      </c>
      <c r="Q86" s="97">
        <f ca="1">IoWC!Q10</f>
        <v>45.55713784430251</v>
      </c>
      <c r="R86" s="97">
        <v>2.38</v>
      </c>
      <c r="S86" s="97">
        <v>1.1387896891196454</v>
      </c>
      <c r="T86" s="97">
        <f t="shared" si="26"/>
        <v>1.1387896891196454</v>
      </c>
      <c r="U86" s="98">
        <f t="shared" si="27"/>
        <v>212.88878731912439</v>
      </c>
      <c r="V86" s="98">
        <f t="shared" si="24"/>
        <v>226.85014974030517</v>
      </c>
      <c r="W86" s="98">
        <f t="shared" ca="1" si="24"/>
        <v>271.49662299345061</v>
      </c>
      <c r="X86" s="98"/>
      <c r="Y86" s="98"/>
      <c r="Z86" s="98"/>
      <c r="AA86" s="97">
        <f>EC!AP82</f>
        <v>849.81533286827528</v>
      </c>
      <c r="AB86" s="97">
        <f>EC!AQ82</f>
        <v>1294.1488929053996</v>
      </c>
      <c r="AC86" s="97">
        <f>EC!AR82</f>
        <v>1473.4674351095864</v>
      </c>
      <c r="AD86" s="98">
        <f t="shared" si="28"/>
        <v>1062.7041201873997</v>
      </c>
      <c r="AE86" s="98">
        <f t="shared" si="25"/>
        <v>1520.9990426457048</v>
      </c>
      <c r="AF86" s="98">
        <f t="shared" ca="1" si="25"/>
        <v>1744.9640581030371</v>
      </c>
    </row>
    <row r="87" spans="2:32" x14ac:dyDescent="0.35">
      <c r="B87" s="7" t="s">
        <v>155</v>
      </c>
      <c r="C87" s="97">
        <f>RoE!O11</f>
        <v>136.70550170248288</v>
      </c>
      <c r="D87" s="97">
        <f>RoE!P11</f>
        <v>135.32084215586639</v>
      </c>
      <c r="E87" s="97">
        <f>RoE!Q11</f>
        <v>134.92177158986038</v>
      </c>
      <c r="F87" s="97">
        <f>IoL!BE11</f>
        <v>21.776079536521273</v>
      </c>
      <c r="G87" s="97">
        <f>IoL!BH11</f>
        <v>26.792104775451012</v>
      </c>
      <c r="H87" s="97">
        <f>IoL!BK11</f>
        <v>26.278116898791524</v>
      </c>
      <c r="I87" s="97">
        <f>'Depreciation (Summary)'!O11</f>
        <v>72.898274076400526</v>
      </c>
      <c r="J87" s="97">
        <f>'Depreciation (Summary)'!P11</f>
        <v>79.000524873893085</v>
      </c>
      <c r="K87" s="97">
        <f>'Depreciation (Summary)'!Q11</f>
        <v>78.317158478827935</v>
      </c>
      <c r="L87" s="97">
        <f>'O&amp;M (Summary)'!G87</f>
        <v>195.40332666101222</v>
      </c>
      <c r="M87" s="97">
        <f>'O&amp;M (Summary)'!L87</f>
        <v>267.12577458746568</v>
      </c>
      <c r="N87" s="97">
        <f>'O&amp;M (Summary)'!Q87</f>
        <v>187.39647984594797</v>
      </c>
      <c r="O87" s="97">
        <f>IoWC!O11</f>
        <v>37.408022363064767</v>
      </c>
      <c r="P87" s="97">
        <f>IoWC!P11</f>
        <v>39.175572982661336</v>
      </c>
      <c r="Q87" s="97">
        <f ca="1">IoWC!Q11</f>
        <v>41.427458421528158</v>
      </c>
      <c r="R87" s="97">
        <v>3.94</v>
      </c>
      <c r="S87" s="97">
        <v>4.1007608142854499</v>
      </c>
      <c r="T87" s="97">
        <f t="shared" si="26"/>
        <v>4.1007608142854499</v>
      </c>
      <c r="U87" s="98">
        <f t="shared" si="27"/>
        <v>460.25120433948172</v>
      </c>
      <c r="V87" s="98">
        <f t="shared" si="24"/>
        <v>543.31405856105209</v>
      </c>
      <c r="W87" s="98">
        <f t="shared" ca="1" si="24"/>
        <v>464.24022442067053</v>
      </c>
      <c r="X87" s="98"/>
      <c r="Y87" s="98"/>
      <c r="Z87" s="98"/>
      <c r="AA87" s="97">
        <f>EC!AP83</f>
        <v>1024.1824136246501</v>
      </c>
      <c r="AB87" s="97">
        <f>EC!AQ83</f>
        <v>1107.7522445105301</v>
      </c>
      <c r="AC87" s="97">
        <f>EC!AR83</f>
        <v>1161.3562654997754</v>
      </c>
      <c r="AD87" s="98">
        <f t="shared" si="28"/>
        <v>1484.4336179641318</v>
      </c>
      <c r="AE87" s="98">
        <f t="shared" si="25"/>
        <v>1651.0663030715823</v>
      </c>
      <c r="AF87" s="98">
        <f t="shared" ca="1" si="25"/>
        <v>1625.5964899204459</v>
      </c>
    </row>
    <row r="88" spans="2:32" x14ac:dyDescent="0.35">
      <c r="B88" s="7" t="s">
        <v>156</v>
      </c>
      <c r="C88" s="97">
        <f>RoE!O12</f>
        <v>135.16465878748184</v>
      </c>
      <c r="D88" s="97">
        <f>RoE!P12</f>
        <v>132.85050225085729</v>
      </c>
      <c r="E88" s="97">
        <f>RoE!Q12</f>
        <v>132.62923369529327</v>
      </c>
      <c r="F88" s="97">
        <f>IoL!BE12</f>
        <v>4.4715612728061869</v>
      </c>
      <c r="G88" s="97">
        <f>IoL!BH12</f>
        <v>8.6566602136758259</v>
      </c>
      <c r="H88" s="97">
        <f>IoL!BK12</f>
        <v>8.4276961785843802</v>
      </c>
      <c r="I88" s="97">
        <f>'Depreciation (Summary)'!O12</f>
        <v>67.982456866699863</v>
      </c>
      <c r="J88" s="97">
        <f>'Depreciation (Summary)'!P12</f>
        <v>79.615938286732259</v>
      </c>
      <c r="K88" s="97">
        <f>'Depreciation (Summary)'!Q12</f>
        <v>78.353192064297531</v>
      </c>
      <c r="L88" s="97">
        <f>'O&amp;M (Summary)'!G88</f>
        <v>199.65410213337873</v>
      </c>
      <c r="M88" s="97">
        <f>'O&amp;M (Summary)'!L88</f>
        <v>206.25110663629414</v>
      </c>
      <c r="N88" s="97">
        <f>'O&amp;M (Summary)'!Q88</f>
        <v>190.59950982013325</v>
      </c>
      <c r="O88" s="97">
        <f>IoWC!O12</f>
        <v>46.006393871516927</v>
      </c>
      <c r="P88" s="97">
        <f>IoWC!P12</f>
        <v>48.299352492209451</v>
      </c>
      <c r="Q88" s="97">
        <f ca="1">IoWC!Q12</f>
        <v>56.55621196401151</v>
      </c>
      <c r="R88" s="97">
        <v>3.95</v>
      </c>
      <c r="S88" s="97">
        <v>3.9144664376187768</v>
      </c>
      <c r="T88" s="97">
        <f t="shared" si="26"/>
        <v>3.9144664376187768</v>
      </c>
      <c r="U88" s="98">
        <f t="shared" si="27"/>
        <v>449.32917293188353</v>
      </c>
      <c r="V88" s="98">
        <f t="shared" si="24"/>
        <v>471.75909344215017</v>
      </c>
      <c r="W88" s="98">
        <f t="shared" ca="1" si="24"/>
        <v>462.65137728470108</v>
      </c>
      <c r="X88" s="98"/>
      <c r="Y88" s="98"/>
      <c r="Z88" s="98"/>
      <c r="AA88" s="97">
        <f>EC!AP84</f>
        <v>1363.9493014088002</v>
      </c>
      <c r="AB88" s="97">
        <f>EC!AQ84</f>
        <v>1516.3176699952169</v>
      </c>
      <c r="AC88" s="97">
        <f>EC!AR84</f>
        <v>1727.000383629294</v>
      </c>
      <c r="AD88" s="98">
        <f t="shared" si="28"/>
        <v>1813.2784743406837</v>
      </c>
      <c r="AE88" s="98">
        <f t="shared" si="25"/>
        <v>1988.0767634373669</v>
      </c>
      <c r="AF88" s="98">
        <f t="shared" ca="1" si="25"/>
        <v>2189.6517609139951</v>
      </c>
    </row>
    <row r="89" spans="2:32" x14ac:dyDescent="0.35">
      <c r="B89" s="7" t="s">
        <v>8</v>
      </c>
      <c r="C89" s="97">
        <f>RoE!O13</f>
        <v>110.32642342762402</v>
      </c>
      <c r="D89" s="97">
        <f>RoE!P13</f>
        <v>111.44637918830462</v>
      </c>
      <c r="E89" s="97">
        <f>RoE!Q13</f>
        <v>111.16617340359818</v>
      </c>
      <c r="F89" s="97">
        <f>IoL!BE13</f>
        <v>64.97623456274161</v>
      </c>
      <c r="G89" s="97">
        <f>IoL!BH13</f>
        <v>58.316108546817198</v>
      </c>
      <c r="H89" s="97">
        <f>IoL!BK13</f>
        <v>58.175285618442103</v>
      </c>
      <c r="I89" s="97">
        <f>'Depreciation (Summary)'!O13</f>
        <v>188.33628006115615</v>
      </c>
      <c r="J89" s="97">
        <f>'Depreciation (Summary)'!P13</f>
        <v>190.26499773709261</v>
      </c>
      <c r="K89" s="97">
        <f>'Depreciation (Summary)'!Q13</f>
        <v>190.30379698931353</v>
      </c>
      <c r="L89" s="97">
        <f>'O&amp;M (Summary)'!G89</f>
        <v>140.16845695451897</v>
      </c>
      <c r="M89" s="97">
        <f>'O&amp;M (Summary)'!L89</f>
        <v>178.3807610059724</v>
      </c>
      <c r="N89" s="97">
        <f>'O&amp;M (Summary)'!Q89</f>
        <v>154.64013602079024</v>
      </c>
      <c r="O89" s="97">
        <f>IoWC!O13</f>
        <v>34.565636947451218</v>
      </c>
      <c r="P89" s="97">
        <f>IoWC!P13</f>
        <v>44.837852615897162</v>
      </c>
      <c r="Q89" s="97">
        <f ca="1">IoWC!Q13</f>
        <v>49.17163280015609</v>
      </c>
      <c r="R89" s="97">
        <v>4.0999999999999996</v>
      </c>
      <c r="S89" s="97">
        <v>8.1352187124048534</v>
      </c>
      <c r="T89" s="97">
        <f t="shared" si="26"/>
        <v>8.1352187124048534</v>
      </c>
      <c r="U89" s="98">
        <f t="shared" si="27"/>
        <v>534.27303195349202</v>
      </c>
      <c r="V89" s="98">
        <f t="shared" si="24"/>
        <v>575.11088038167918</v>
      </c>
      <c r="W89" s="98">
        <f t="shared" ca="1" si="24"/>
        <v>555.32180611989531</v>
      </c>
      <c r="X89" s="98"/>
      <c r="Y89" s="98"/>
      <c r="Z89" s="98"/>
      <c r="AA89" s="97">
        <f>EC!AP85</f>
        <v>888.03863266588689</v>
      </c>
      <c r="AB89" s="97">
        <f>EC!AQ85</f>
        <v>1327.2406746173763</v>
      </c>
      <c r="AC89" s="97">
        <f>EC!AR85</f>
        <v>1406.0251027576974</v>
      </c>
      <c r="AD89" s="98">
        <f t="shared" si="28"/>
        <v>1422.3116646193789</v>
      </c>
      <c r="AE89" s="98">
        <f t="shared" si="25"/>
        <v>1902.3515549990555</v>
      </c>
      <c r="AF89" s="98">
        <f t="shared" ca="1" si="25"/>
        <v>1961.3469088775928</v>
      </c>
    </row>
    <row r="90" spans="2:32" x14ac:dyDescent="0.35">
      <c r="B90" s="7" t="s">
        <v>157</v>
      </c>
      <c r="C90" s="97">
        <f>RoE!O14</f>
        <v>184.05919851535086</v>
      </c>
      <c r="D90" s="97">
        <f>RoE!P14</f>
        <v>185.70712573245186</v>
      </c>
      <c r="E90" s="97">
        <f>RoE!Q14</f>
        <v>183.79536069277211</v>
      </c>
      <c r="F90" s="97">
        <f>IoL!BE14</f>
        <v>162.55427701450111</v>
      </c>
      <c r="G90" s="97">
        <f>IoL!BH14</f>
        <v>164.96315170118584</v>
      </c>
      <c r="H90" s="97">
        <f>IoL!BK14</f>
        <v>162.24502041405395</v>
      </c>
      <c r="I90" s="97">
        <f>'Depreciation (Summary)'!O14</f>
        <v>342.19840340729377</v>
      </c>
      <c r="J90" s="97">
        <f>'Depreciation (Summary)'!P14</f>
        <v>349.55370324854522</v>
      </c>
      <c r="K90" s="97">
        <f>'Depreciation (Summary)'!Q14</f>
        <v>346.80006250073023</v>
      </c>
      <c r="L90" s="97">
        <f>'O&amp;M (Summary)'!G90</f>
        <v>291.92700790879803</v>
      </c>
      <c r="M90" s="97">
        <f>'O&amp;M (Summary)'!L90</f>
        <v>284.11210437873552</v>
      </c>
      <c r="N90" s="97">
        <f>'O&amp;M (Summary)'!Q90</f>
        <v>257.11432751981545</v>
      </c>
      <c r="O90" s="97">
        <f>IoWC!O14</f>
        <v>86.572244898127082</v>
      </c>
      <c r="P90" s="97">
        <f>IoWC!P14</f>
        <v>93.838411798453009</v>
      </c>
      <c r="Q90" s="97">
        <f ca="1">IoWC!Q14</f>
        <v>90.823860508068719</v>
      </c>
      <c r="R90" s="97">
        <v>14.87</v>
      </c>
      <c r="S90" s="97">
        <v>7.7821512877304109</v>
      </c>
      <c r="T90" s="97">
        <f t="shared" si="26"/>
        <v>7.7821512877304109</v>
      </c>
      <c r="U90" s="98">
        <f t="shared" si="27"/>
        <v>1052.4411317440708</v>
      </c>
      <c r="V90" s="98">
        <f t="shared" si="24"/>
        <v>1070.392345571641</v>
      </c>
      <c r="W90" s="98">
        <f t="shared" ca="1" si="24"/>
        <v>1032.9964803477101</v>
      </c>
      <c r="X90" s="98"/>
      <c r="Y90" s="98"/>
      <c r="Z90" s="98"/>
      <c r="AA90" s="97">
        <f>EC!AP86</f>
        <v>2466.5321759999997</v>
      </c>
      <c r="AB90" s="97">
        <f>EC!AQ86</f>
        <v>2892.5812735718177</v>
      </c>
      <c r="AC90" s="97">
        <f>EC!AR86</f>
        <v>2603.5826665898417</v>
      </c>
      <c r="AD90" s="98">
        <f t="shared" si="28"/>
        <v>3518.9733077440706</v>
      </c>
      <c r="AE90" s="98">
        <f t="shared" si="25"/>
        <v>3962.9736191434586</v>
      </c>
      <c r="AF90" s="98">
        <f t="shared" ca="1" si="25"/>
        <v>3636.5791469375517</v>
      </c>
    </row>
    <row r="91" spans="2:32" x14ac:dyDescent="0.35">
      <c r="B91" s="7" t="s">
        <v>158</v>
      </c>
      <c r="C91" s="97">
        <f>RoE!O15</f>
        <v>398.46704639406624</v>
      </c>
      <c r="D91" s="97">
        <f>RoE!P15</f>
        <v>444.94063301429986</v>
      </c>
      <c r="E91" s="97">
        <f>RoE!Q15</f>
        <v>434.65563238331367</v>
      </c>
      <c r="F91" s="97">
        <f>IoL!BE15</f>
        <v>507.40640395935384</v>
      </c>
      <c r="G91" s="97">
        <f>IoL!BH15</f>
        <v>569.42157175950001</v>
      </c>
      <c r="H91" s="97">
        <f>IoL!BK15</f>
        <v>557.39009077404148</v>
      </c>
      <c r="I91" s="97">
        <f>'Depreciation (Summary)'!O15</f>
        <v>655.16204206180555</v>
      </c>
      <c r="J91" s="97">
        <f>'Depreciation (Summary)'!P15</f>
        <v>719.55964053683601</v>
      </c>
      <c r="K91" s="97">
        <f>'Depreciation (Summary)'!Q15</f>
        <v>706.62986507994412</v>
      </c>
      <c r="L91" s="97">
        <f>'O&amp;M (Summary)'!G91</f>
        <v>439.87726688445173</v>
      </c>
      <c r="M91" s="97">
        <f>'O&amp;M (Summary)'!L91</f>
        <v>534.94798521910536</v>
      </c>
      <c r="N91" s="97">
        <f>'O&amp;M (Summary)'!Q91</f>
        <v>464.00126446003924</v>
      </c>
      <c r="O91" s="97">
        <f>IoWC!O15</f>
        <v>104.03951686776645</v>
      </c>
      <c r="P91" s="97">
        <f>IoWC!P15</f>
        <v>165.43306437360187</v>
      </c>
      <c r="Q91" s="97">
        <f ca="1">IoWC!Q15</f>
        <v>140.6573644502412</v>
      </c>
      <c r="R91" s="97">
        <v>7.27</v>
      </c>
      <c r="S91" s="97">
        <v>10.916171004282507</v>
      </c>
      <c r="T91" s="97">
        <f t="shared" si="26"/>
        <v>10.916171004282507</v>
      </c>
      <c r="U91" s="98">
        <f t="shared" si="27"/>
        <v>2097.6822761674439</v>
      </c>
      <c r="V91" s="98">
        <f t="shared" si="24"/>
        <v>2423.3867238990606</v>
      </c>
      <c r="W91" s="98">
        <f t="shared" ca="1" si="24"/>
        <v>2292.418046143297</v>
      </c>
      <c r="X91" s="98"/>
      <c r="Y91" s="98"/>
      <c r="Z91" s="98"/>
      <c r="AA91" s="97">
        <f>EC!AP87</f>
        <v>2404.2164552549207</v>
      </c>
      <c r="AB91" s="97">
        <f>EC!AQ87</f>
        <v>4799.1651484853101</v>
      </c>
      <c r="AC91" s="97">
        <f>EC!AR87</f>
        <v>3613.7249915739289</v>
      </c>
      <c r="AD91" s="98">
        <f t="shared" si="28"/>
        <v>4501.898731422365</v>
      </c>
      <c r="AE91" s="98">
        <f t="shared" si="25"/>
        <v>7222.5518723843707</v>
      </c>
      <c r="AF91" s="98">
        <f t="shared" ca="1" si="25"/>
        <v>5906.1430377172255</v>
      </c>
    </row>
    <row r="92" spans="2:32" x14ac:dyDescent="0.35">
      <c r="B92" s="7" t="s">
        <v>159</v>
      </c>
      <c r="C92" s="97">
        <f>RoE!O16</f>
        <v>172.20347619068275</v>
      </c>
      <c r="D92" s="97">
        <f>RoE!P16</f>
        <v>188.40481701492467</v>
      </c>
      <c r="E92" s="97">
        <f>RoE!Q16</f>
        <v>187.93364124401302</v>
      </c>
      <c r="F92" s="97">
        <f>IoL!BE16</f>
        <v>289.22974753370784</v>
      </c>
      <c r="G92" s="97">
        <f>IoL!BH16</f>
        <v>309.10363525170646</v>
      </c>
      <c r="H92" s="97">
        <f>IoL!BK16</f>
        <v>308.33687650013269</v>
      </c>
      <c r="I92" s="97">
        <f>'Depreciation (Summary)'!O16</f>
        <v>329.35421726686297</v>
      </c>
      <c r="J92" s="97">
        <f>'Depreciation (Summary)'!P16</f>
        <v>353.25797617413002</v>
      </c>
      <c r="K92" s="97">
        <f>'Depreciation (Summary)'!Q16</f>
        <v>352.66567319969198</v>
      </c>
      <c r="L92" s="97">
        <f>'O&amp;M (Summary)'!G92</f>
        <v>261.36786092840129</v>
      </c>
      <c r="M92" s="97">
        <f>'O&amp;M (Summary)'!L92</f>
        <v>295.26730032547658</v>
      </c>
      <c r="N92" s="97">
        <f>'O&amp;M (Summary)'!Q92</f>
        <v>278.28539651877361</v>
      </c>
      <c r="O92" s="97">
        <f>IoWC!O16</f>
        <v>69.033015712964058</v>
      </c>
      <c r="P92" s="97">
        <f>IoWC!P16</f>
        <v>90.458098434901856</v>
      </c>
      <c r="Q92" s="97">
        <f ca="1">IoWC!Q16</f>
        <v>87.781812585094855</v>
      </c>
      <c r="R92" s="97">
        <v>15.14</v>
      </c>
      <c r="S92" s="97">
        <v>2.3649168816804895</v>
      </c>
      <c r="T92" s="97">
        <f t="shared" si="26"/>
        <v>2.3649168816804895</v>
      </c>
      <c r="U92" s="98">
        <f t="shared" si="27"/>
        <v>1106.0483176326188</v>
      </c>
      <c r="V92" s="98">
        <f t="shared" si="24"/>
        <v>1234.1269103194591</v>
      </c>
      <c r="W92" s="98">
        <f t="shared" ca="1" si="24"/>
        <v>1212.6384831660257</v>
      </c>
      <c r="X92" s="98"/>
      <c r="Y92" s="98"/>
      <c r="Z92" s="98"/>
      <c r="AA92" s="97">
        <f>EC!AP88</f>
        <v>1804.3119949391998</v>
      </c>
      <c r="AB92" s="97">
        <f>EC!AQ88</f>
        <v>2704.4568525275517</v>
      </c>
      <c r="AC92" s="97">
        <f>EC!AR88</f>
        <v>2417.041062520269</v>
      </c>
      <c r="AD92" s="98">
        <f t="shared" si="28"/>
        <v>2910.3603125718187</v>
      </c>
      <c r="AE92" s="98">
        <f t="shared" si="25"/>
        <v>3938.5837628470108</v>
      </c>
      <c r="AF92" s="98">
        <f t="shared" ca="1" si="25"/>
        <v>3629.6795456862947</v>
      </c>
    </row>
    <row r="93" spans="2:32" x14ac:dyDescent="0.35">
      <c r="B93" s="7" t="s">
        <v>160</v>
      </c>
      <c r="C93" s="97">
        <f>RoE!O17</f>
        <v>58.160481416774708</v>
      </c>
      <c r="D93" s="97">
        <f>RoE!P17</f>
        <v>59.20846026438273</v>
      </c>
      <c r="E93" s="97">
        <f>RoE!Q17</f>
        <v>59.205085653632665</v>
      </c>
      <c r="F93" s="97">
        <f>IoL!BE17</f>
        <v>91.184620524271423</v>
      </c>
      <c r="G93" s="97">
        <f>IoL!BH17</f>
        <v>98.179709729318631</v>
      </c>
      <c r="H93" s="97">
        <f>IoL!BK17</f>
        <v>98.174884015368036</v>
      </c>
      <c r="I93" s="97">
        <f>'Depreciation (Summary)'!O17</f>
        <v>98.859810943938115</v>
      </c>
      <c r="J93" s="97">
        <f>'Depreciation (Summary)'!P17</f>
        <v>101.15802456465526</v>
      </c>
      <c r="K93" s="97">
        <f>'Depreciation (Summary)'!Q17</f>
        <v>101.15402715619265</v>
      </c>
      <c r="L93" s="97">
        <f>'O&amp;M (Summary)'!G93</f>
        <v>111.17065397649381</v>
      </c>
      <c r="M93" s="97">
        <f>'O&amp;M (Summary)'!L93</f>
        <v>117.08220844188334</v>
      </c>
      <c r="N93" s="97">
        <f>'O&amp;M (Summary)'!Q93</f>
        <v>97.354694035783353</v>
      </c>
      <c r="O93" s="97">
        <f>IoWC!O17</f>
        <v>23.556514505618843</v>
      </c>
      <c r="P93" s="97">
        <f>IoWC!P17</f>
        <v>27.247976348648457</v>
      </c>
      <c r="Q93" s="97">
        <f ca="1">IoWC!Q17</f>
        <v>30.281523246866328</v>
      </c>
      <c r="R93" s="97">
        <v>1.08</v>
      </c>
      <c r="S93" s="97">
        <v>2.1413789488093924</v>
      </c>
      <c r="T93" s="97">
        <f t="shared" si="26"/>
        <v>2.1413789488093924</v>
      </c>
      <c r="U93" s="98">
        <f t="shared" si="27"/>
        <v>381.85208136709696</v>
      </c>
      <c r="V93" s="98">
        <f t="shared" si="24"/>
        <v>400.735000400079</v>
      </c>
      <c r="W93" s="98">
        <f t="shared" ca="1" si="24"/>
        <v>384.02883515903358</v>
      </c>
      <c r="X93" s="98"/>
      <c r="Y93" s="98"/>
      <c r="Z93" s="98"/>
      <c r="AA93" s="97">
        <f>EC!AP89</f>
        <v>616.55183663189996</v>
      </c>
      <c r="AB93" s="97">
        <f>EC!AQ89</f>
        <v>789.94424366230442</v>
      </c>
      <c r="AC93" s="97">
        <f>EC!AR89</f>
        <v>856.74485267652744</v>
      </c>
      <c r="AD93" s="98">
        <f t="shared" si="28"/>
        <v>998.40391799899692</v>
      </c>
      <c r="AE93" s="98">
        <f t="shared" si="25"/>
        <v>1190.6792440623835</v>
      </c>
      <c r="AF93" s="98">
        <f t="shared" ca="1" si="25"/>
        <v>1240.7736878355611</v>
      </c>
    </row>
    <row r="94" spans="2:32" x14ac:dyDescent="0.35">
      <c r="B94" s="7" t="s">
        <v>161</v>
      </c>
      <c r="C94" s="97">
        <f>RoE!O18</f>
        <v>13.096917419524511</v>
      </c>
      <c r="D94" s="97">
        <f>RoE!P18</f>
        <v>9.7047452394559848</v>
      </c>
      <c r="E94" s="97">
        <f>RoE!Q18</f>
        <v>8.3877668894119868</v>
      </c>
      <c r="F94" s="97">
        <f>IoL!BE18</f>
        <v>12.417200555736176</v>
      </c>
      <c r="G94" s="97">
        <f>IoL!BH18</f>
        <v>8.4299430776074402</v>
      </c>
      <c r="H94" s="97">
        <f>IoL!BK18</f>
        <v>5.5423217333750365</v>
      </c>
      <c r="I94" s="97">
        <f>'Depreciation (Summary)'!O18</f>
        <v>26.853824987534345</v>
      </c>
      <c r="J94" s="97">
        <f>'Depreciation (Summary)'!P18</f>
        <v>15.019526491391773</v>
      </c>
      <c r="K94" s="97">
        <f>'Depreciation (Summary)'!Q18</f>
        <v>14.725155541920241</v>
      </c>
      <c r="L94" s="97">
        <f>'O&amp;M (Summary)'!G94</f>
        <v>231.98041807247745</v>
      </c>
      <c r="M94" s="97">
        <f>'O&amp;M (Summary)'!L94</f>
        <v>251.66934662275381</v>
      </c>
      <c r="N94" s="97">
        <f>'O&amp;M (Summary)'!Q94</f>
        <v>251.6689290077538</v>
      </c>
      <c r="O94" s="97">
        <f>IoWC!O18</f>
        <v>12.032206918340659</v>
      </c>
      <c r="P94" s="97">
        <f>IoWC!P18</f>
        <v>11.27</v>
      </c>
      <c r="Q94" s="97">
        <f ca="1">IoWC!Q18</f>
        <v>11.870538948571623</v>
      </c>
      <c r="R94" s="97">
        <v>4.76</v>
      </c>
      <c r="S94" s="97">
        <v>3.3896296890000004</v>
      </c>
      <c r="T94" s="97">
        <f t="shared" si="26"/>
        <v>3.3896296890000004</v>
      </c>
      <c r="U94" s="98">
        <f t="shared" si="27"/>
        <v>291.62056795361315</v>
      </c>
      <c r="V94" s="98">
        <f t="shared" si="24"/>
        <v>292.70393174220897</v>
      </c>
      <c r="W94" s="98">
        <f t="shared" ca="1" si="24"/>
        <v>288.80508243203269</v>
      </c>
      <c r="X94" s="129">
        <v>533.76</v>
      </c>
      <c r="Y94" s="129">
        <v>533.76</v>
      </c>
      <c r="Z94" s="129">
        <f>X94</f>
        <v>533.76</v>
      </c>
      <c r="AA94" s="97"/>
      <c r="AB94" s="97"/>
      <c r="AC94" s="97"/>
      <c r="AD94" s="98">
        <f t="shared" si="28"/>
        <v>825.38056795361308</v>
      </c>
      <c r="AE94" s="98">
        <f t="shared" si="25"/>
        <v>826.46393174220896</v>
      </c>
      <c r="AF94" s="98">
        <f t="shared" ca="1" si="25"/>
        <v>822.56508243203268</v>
      </c>
    </row>
    <row r="95" spans="2:32" x14ac:dyDescent="0.35">
      <c r="B95" s="12" t="s">
        <v>27</v>
      </c>
      <c r="C95" s="98">
        <f>SUM(C81:C94)</f>
        <v>1642.0227735617975</v>
      </c>
      <c r="D95" s="98">
        <f>SUM(D81:D94)</f>
        <v>1703.6978479044833</v>
      </c>
      <c r="E95" s="98">
        <f t="shared" ref="E95:AF95" si="29">SUM(E81:E94)</f>
        <v>1675.168237662815</v>
      </c>
      <c r="F95" s="98">
        <f t="shared" si="29"/>
        <v>1250.9549462224236</v>
      </c>
      <c r="G95" s="98">
        <f t="shared" si="29"/>
        <v>1373.6985415151307</v>
      </c>
      <c r="H95" s="98">
        <f t="shared" si="29"/>
        <v>1341.3572689852615</v>
      </c>
      <c r="I95" s="98">
        <f t="shared" si="29"/>
        <v>2070.4732455582348</v>
      </c>
      <c r="J95" s="98">
        <f t="shared" si="29"/>
        <v>2336.8075264191598</v>
      </c>
      <c r="K95" s="98">
        <f t="shared" si="29"/>
        <v>2190.7538794193661</v>
      </c>
      <c r="L95" s="98">
        <f t="shared" si="29"/>
        <v>3750.2826671437974</v>
      </c>
      <c r="M95" s="98">
        <f t="shared" si="29"/>
        <v>4008.157500918514</v>
      </c>
      <c r="N95" s="98">
        <f t="shared" si="29"/>
        <v>3805.3282477018838</v>
      </c>
      <c r="O95" s="98">
        <f t="shared" si="29"/>
        <v>669.30450501743769</v>
      </c>
      <c r="P95" s="98">
        <f t="shared" si="29"/>
        <v>876.77627190325575</v>
      </c>
      <c r="Q95" s="98">
        <f t="shared" ca="1" si="29"/>
        <v>858.85849977725059</v>
      </c>
      <c r="R95" s="98">
        <f t="shared" si="29"/>
        <v>99.12</v>
      </c>
      <c r="S95" s="98">
        <f t="shared" si="29"/>
        <v>133.06627358900005</v>
      </c>
      <c r="T95" s="98">
        <f t="shared" si="29"/>
        <v>133.06627358900005</v>
      </c>
      <c r="U95" s="98">
        <f t="shared" si="29"/>
        <v>9283.9181375036896</v>
      </c>
      <c r="V95" s="98">
        <f t="shared" si="29"/>
        <v>10166.071415071545</v>
      </c>
      <c r="W95" s="98">
        <f t="shared" ca="1" si="29"/>
        <v>9738.3998599575771</v>
      </c>
      <c r="X95" s="98">
        <f t="shared" si="29"/>
        <v>533.76</v>
      </c>
      <c r="Y95" s="98">
        <f t="shared" si="29"/>
        <v>533.76</v>
      </c>
      <c r="Z95" s="98">
        <f t="shared" si="29"/>
        <v>533.76</v>
      </c>
      <c r="AA95" s="98">
        <f t="shared" si="29"/>
        <v>17935.616362522273</v>
      </c>
      <c r="AB95" s="98">
        <f t="shared" si="29"/>
        <v>26879.454513351051</v>
      </c>
      <c r="AC95" s="98">
        <f t="shared" si="29"/>
        <v>24487.355391494268</v>
      </c>
      <c r="AD95" s="98">
        <f t="shared" si="29"/>
        <v>27753.294500025961</v>
      </c>
      <c r="AE95" s="98">
        <f t="shared" si="29"/>
        <v>37579.2859284226</v>
      </c>
      <c r="AF95" s="98">
        <f t="shared" ca="1" si="29"/>
        <v>34759.515251451849</v>
      </c>
    </row>
    <row r="97" spans="2:32" x14ac:dyDescent="0.35">
      <c r="B97" s="3" t="s">
        <v>127</v>
      </c>
      <c r="AF97" s="3" t="s">
        <v>164</v>
      </c>
    </row>
    <row r="98" spans="2:32" ht="15.75" customHeight="1" x14ac:dyDescent="0.35">
      <c r="B98" s="187" t="s">
        <v>170</v>
      </c>
      <c r="C98" s="178" t="s">
        <v>196</v>
      </c>
      <c r="D98" s="196"/>
      <c r="E98" s="179"/>
      <c r="F98" s="178" t="s">
        <v>48</v>
      </c>
      <c r="G98" s="196"/>
      <c r="H98" s="179"/>
      <c r="I98" s="178" t="s">
        <v>24</v>
      </c>
      <c r="J98" s="196"/>
      <c r="K98" s="179"/>
      <c r="L98" s="178" t="s">
        <v>243</v>
      </c>
      <c r="M98" s="196"/>
      <c r="N98" s="179"/>
      <c r="O98" s="178" t="s">
        <v>26</v>
      </c>
      <c r="P98" s="196"/>
      <c r="Q98" s="179"/>
      <c r="R98" s="178" t="s">
        <v>366</v>
      </c>
      <c r="S98" s="196"/>
      <c r="T98" s="179"/>
      <c r="U98" s="178" t="s">
        <v>367</v>
      </c>
      <c r="V98" s="196"/>
      <c r="W98" s="179"/>
      <c r="X98" s="178" t="s">
        <v>368</v>
      </c>
      <c r="Y98" s="196"/>
      <c r="Z98" s="179"/>
      <c r="AA98" s="178" t="s">
        <v>369</v>
      </c>
      <c r="AB98" s="196"/>
      <c r="AC98" s="179"/>
      <c r="AD98" s="178" t="s">
        <v>370</v>
      </c>
      <c r="AE98" s="196"/>
      <c r="AF98" s="179"/>
    </row>
    <row r="99" spans="2:32" ht="30" x14ac:dyDescent="0.35">
      <c r="B99" s="187"/>
      <c r="C99" s="96" t="s">
        <v>172</v>
      </c>
      <c r="D99" s="6" t="s">
        <v>131</v>
      </c>
      <c r="E99" s="6" t="s">
        <v>372</v>
      </c>
      <c r="F99" s="96" t="s">
        <v>172</v>
      </c>
      <c r="G99" s="6" t="s">
        <v>131</v>
      </c>
      <c r="H99" s="6" t="s">
        <v>372</v>
      </c>
      <c r="I99" s="96" t="s">
        <v>172</v>
      </c>
      <c r="J99" s="6" t="s">
        <v>131</v>
      </c>
      <c r="K99" s="6" t="s">
        <v>372</v>
      </c>
      <c r="L99" s="96" t="s">
        <v>172</v>
      </c>
      <c r="M99" s="6" t="s">
        <v>131</v>
      </c>
      <c r="N99" s="6" t="s">
        <v>372</v>
      </c>
      <c r="O99" s="96" t="s">
        <v>172</v>
      </c>
      <c r="P99" s="6" t="s">
        <v>131</v>
      </c>
      <c r="Q99" s="6" t="s">
        <v>372</v>
      </c>
      <c r="R99" s="96" t="s">
        <v>172</v>
      </c>
      <c r="S99" s="6" t="s">
        <v>131</v>
      </c>
      <c r="T99" s="6" t="s">
        <v>372</v>
      </c>
      <c r="U99" s="96" t="s">
        <v>172</v>
      </c>
      <c r="V99" s="6" t="s">
        <v>131</v>
      </c>
      <c r="W99" s="6" t="s">
        <v>372</v>
      </c>
      <c r="X99" s="96" t="s">
        <v>172</v>
      </c>
      <c r="Y99" s="6" t="s">
        <v>131</v>
      </c>
      <c r="Z99" s="6" t="s">
        <v>372</v>
      </c>
      <c r="AA99" s="96" t="s">
        <v>172</v>
      </c>
      <c r="AB99" s="6" t="s">
        <v>131</v>
      </c>
      <c r="AC99" s="6" t="s">
        <v>372</v>
      </c>
      <c r="AD99" s="96" t="s">
        <v>172</v>
      </c>
      <c r="AE99" s="6" t="s">
        <v>131</v>
      </c>
      <c r="AF99" s="6" t="s">
        <v>372</v>
      </c>
    </row>
    <row r="100" spans="2:32" x14ac:dyDescent="0.35">
      <c r="B100" s="7" t="s">
        <v>43</v>
      </c>
      <c r="C100" s="97">
        <f>RoE!R5</f>
        <v>14.234823658341389</v>
      </c>
      <c r="D100" s="97">
        <f>RoE!S5</f>
        <v>13.635798955167326</v>
      </c>
      <c r="E100" s="97">
        <f>RoE!T5</f>
        <v>13.635583431789325</v>
      </c>
      <c r="F100" s="97">
        <f>IoL!BR5</f>
        <v>0.43443909104356321</v>
      </c>
      <c r="G100" s="97">
        <f>IoL!BU5</f>
        <v>0.28701044119787716</v>
      </c>
      <c r="H100" s="97">
        <f>IoL!BX5</f>
        <v>0.28701044119787716</v>
      </c>
      <c r="I100" s="97">
        <f>'Depreciation (Summary)'!R5</f>
        <v>23.687312060133497</v>
      </c>
      <c r="J100" s="97">
        <f>'Depreciation (Summary)'!S5</f>
        <v>21.840515559301195</v>
      </c>
      <c r="K100" s="97">
        <f>'Depreciation (Summary)'!T5</f>
        <v>19.24202360773322</v>
      </c>
      <c r="L100" s="97">
        <f>'O&amp;M (Summary)'!G100</f>
        <v>122.53501083351178</v>
      </c>
      <c r="M100" s="97">
        <f>'O&amp;M (Summary)'!L100</f>
        <v>128.70939602779163</v>
      </c>
      <c r="N100" s="97">
        <f>'O&amp;M (Summary)'!Q100</f>
        <v>127.67094070137955</v>
      </c>
      <c r="O100" s="97">
        <f>IoWC!R5</f>
        <v>16.492887394910014</v>
      </c>
      <c r="P100" s="97">
        <f>IoWC!S5</f>
        <v>19.429641933414132</v>
      </c>
      <c r="Q100" s="97">
        <f ca="1">IoWC!T5</f>
        <v>19.28894466309545</v>
      </c>
      <c r="R100" s="97">
        <v>2.73</v>
      </c>
      <c r="S100" s="97">
        <v>1.7770808210402742</v>
      </c>
      <c r="T100" s="97">
        <f>S100</f>
        <v>1.7770808210402742</v>
      </c>
      <c r="U100" s="98">
        <f>C100+F100+I100+L100+O100-R100</f>
        <v>174.65447303794025</v>
      </c>
      <c r="V100" s="98">
        <f t="shared" ref="V100:W113" si="30">D100+G100+J100+M100+P100-S100</f>
        <v>182.12528209583189</v>
      </c>
      <c r="W100" s="98">
        <f t="shared" ca="1" si="30"/>
        <v>178.34742202415515</v>
      </c>
      <c r="X100" s="98"/>
      <c r="Y100" s="98"/>
      <c r="Z100" s="98"/>
      <c r="AA100" s="97">
        <f>EC!AP95</f>
        <v>493.85510024657185</v>
      </c>
      <c r="AB100" s="97">
        <f>EC!AQ95</f>
        <v>626.53492280908904</v>
      </c>
      <c r="AC100" s="97">
        <f>EC!AR95</f>
        <v>582.79231583937337</v>
      </c>
      <c r="AD100" s="98">
        <f>U100+X100+AA100</f>
        <v>668.50957328451204</v>
      </c>
      <c r="AE100" s="98">
        <f t="shared" ref="AE100:AF113" si="31">V100+Y100+AB100</f>
        <v>808.66020490492087</v>
      </c>
      <c r="AF100" s="98">
        <f t="shared" ca="1" si="31"/>
        <v>761.13973786352858</v>
      </c>
    </row>
    <row r="101" spans="2:32" x14ac:dyDescent="0.35">
      <c r="B101" s="7" t="s">
        <v>150</v>
      </c>
      <c r="C101" s="97">
        <f>RoE!R6</f>
        <v>130.09913464566074</v>
      </c>
      <c r="D101" s="97">
        <f>RoE!S6</f>
        <v>191.07182653899855</v>
      </c>
      <c r="E101" s="97">
        <f>RoE!T6</f>
        <v>161.54416383692956</v>
      </c>
      <c r="F101" s="97">
        <f>IoL!BR6</f>
        <v>46.193302719828743</v>
      </c>
      <c r="G101" s="97">
        <f>IoL!BU6</f>
        <v>129.64490312915797</v>
      </c>
      <c r="H101" s="97">
        <f>IoL!BX6</f>
        <v>85.736716517853324</v>
      </c>
      <c r="I101" s="97">
        <f>'Depreciation (Summary)'!R6</f>
        <v>76.476624487699695</v>
      </c>
      <c r="J101" s="97">
        <f>'Depreciation (Summary)'!S6</f>
        <v>252.77028112484282</v>
      </c>
      <c r="K101" s="97">
        <f>'Depreciation (Summary)'!T6</f>
        <v>215.49130361664731</v>
      </c>
      <c r="L101" s="97">
        <f>'O&amp;M (Summary)'!G101</f>
        <v>724.0473734053935</v>
      </c>
      <c r="M101" s="97">
        <f>'O&amp;M (Summary)'!L101</f>
        <v>735.8680151880294</v>
      </c>
      <c r="N101" s="97">
        <f>'O&amp;M (Summary)'!Q101</f>
        <v>734.85079999802929</v>
      </c>
      <c r="O101" s="97">
        <f>IoWC!R6</f>
        <v>98.967512852139791</v>
      </c>
      <c r="P101" s="97">
        <f>IoWC!S6</f>
        <v>162.84780127568482</v>
      </c>
      <c r="Q101" s="97">
        <f ca="1">IoWC!T6</f>
        <v>142.48750895573289</v>
      </c>
      <c r="R101" s="97">
        <v>19.600000000000001</v>
      </c>
      <c r="S101" s="97">
        <v>6.381133915946541</v>
      </c>
      <c r="T101" s="97">
        <f t="shared" ref="T101:T113" si="32">S101</f>
        <v>6.381133915946541</v>
      </c>
      <c r="U101" s="98">
        <f t="shared" ref="U101:U113" si="33">C101+F101+I101+L101+O101-R101</f>
        <v>1056.1839481107227</v>
      </c>
      <c r="V101" s="98">
        <f t="shared" si="30"/>
        <v>1465.8216933407671</v>
      </c>
      <c r="W101" s="98">
        <f t="shared" ca="1" si="30"/>
        <v>1333.7293590092459</v>
      </c>
      <c r="X101" s="98"/>
      <c r="Y101" s="98"/>
      <c r="Z101" s="98"/>
      <c r="AA101" s="97">
        <f>EC!AP96</f>
        <v>2914.7470617652993</v>
      </c>
      <c r="AB101" s="97">
        <f>EC!AQ96</f>
        <v>5352.867398538272</v>
      </c>
      <c r="AC101" s="97">
        <f>EC!AR96</f>
        <v>4316.0668723285653</v>
      </c>
      <c r="AD101" s="98">
        <f t="shared" ref="AD101:AD113" si="34">U101+X101+AA101</f>
        <v>3970.931009876022</v>
      </c>
      <c r="AE101" s="98">
        <f t="shared" si="31"/>
        <v>6818.6890918790396</v>
      </c>
      <c r="AF101" s="98">
        <f t="shared" ca="1" si="31"/>
        <v>5649.7962313378112</v>
      </c>
    </row>
    <row r="102" spans="2:32" x14ac:dyDescent="0.35">
      <c r="B102" s="7" t="s">
        <v>151</v>
      </c>
      <c r="C102" s="97">
        <f>RoE!R7</f>
        <v>153.9246704635768</v>
      </c>
      <c r="D102" s="97">
        <f>RoE!S7</f>
        <v>174.35585272635592</v>
      </c>
      <c r="E102" s="97">
        <f>RoE!T7</f>
        <v>159.3937382742138</v>
      </c>
      <c r="F102" s="97">
        <f>IoL!BR7</f>
        <v>17.54476716202117</v>
      </c>
      <c r="G102" s="97">
        <f>IoL!BU7</f>
        <v>44.043945592537796</v>
      </c>
      <c r="H102" s="97">
        <f>IoL!BX7</f>
        <v>31.366697446402465</v>
      </c>
      <c r="I102" s="97">
        <f>'Depreciation (Summary)'!R7</f>
        <v>45.501061161326597</v>
      </c>
      <c r="J102" s="97">
        <f>'Depreciation (Summary)'!S7</f>
        <v>161.40567402291123</v>
      </c>
      <c r="K102" s="97">
        <f>'Depreciation (Summary)'!T7</f>
        <v>65.902942144125149</v>
      </c>
      <c r="L102" s="97">
        <f>'O&amp;M (Summary)'!G102</f>
        <v>337.77394177230667</v>
      </c>
      <c r="M102" s="97">
        <f>'O&amp;M (Summary)'!L102</f>
        <v>352.20778446774909</v>
      </c>
      <c r="N102" s="97">
        <f>'O&amp;M (Summary)'!Q102</f>
        <v>407.62091290774913</v>
      </c>
      <c r="O102" s="97">
        <f>IoWC!R7</f>
        <v>48.819710460619881</v>
      </c>
      <c r="P102" s="97">
        <f>IoWC!S7</f>
        <v>74.10480861243957</v>
      </c>
      <c r="Q102" s="97">
        <f ca="1">IoWC!T7</f>
        <v>71.109726845009519</v>
      </c>
      <c r="R102" s="97">
        <v>5.16</v>
      </c>
      <c r="S102" s="97">
        <v>13.273777894280157</v>
      </c>
      <c r="T102" s="97">
        <f t="shared" si="32"/>
        <v>13.273777894280157</v>
      </c>
      <c r="U102" s="98">
        <f t="shared" si="33"/>
        <v>598.40415101985104</v>
      </c>
      <c r="V102" s="98">
        <f t="shared" si="30"/>
        <v>792.8442875277135</v>
      </c>
      <c r="W102" s="98">
        <f t="shared" ca="1" si="30"/>
        <v>722.12023972321992</v>
      </c>
      <c r="X102" s="98"/>
      <c r="Y102" s="98"/>
      <c r="Z102" s="98"/>
      <c r="AA102" s="97">
        <f>EC!AP97</f>
        <v>1379.0220140335653</v>
      </c>
      <c r="AB102" s="97">
        <f>EC!AQ97</f>
        <v>2345.3877027885655</v>
      </c>
      <c r="AC102" s="97">
        <f>EC!AR97</f>
        <v>2091.4854783836658</v>
      </c>
      <c r="AD102" s="98">
        <f t="shared" si="34"/>
        <v>1977.4261650534163</v>
      </c>
      <c r="AE102" s="98">
        <f t="shared" si="31"/>
        <v>3138.2319903162788</v>
      </c>
      <c r="AF102" s="98">
        <f t="shared" ca="1" si="31"/>
        <v>2813.6057181068859</v>
      </c>
    </row>
    <row r="103" spans="2:32" x14ac:dyDescent="0.35">
      <c r="B103" s="7" t="s">
        <v>44</v>
      </c>
      <c r="C103" s="97">
        <f>RoE!R8</f>
        <v>54.14444023529564</v>
      </c>
      <c r="D103" s="97">
        <f>RoE!S8</f>
        <v>48.838050726502289</v>
      </c>
      <c r="E103" s="97">
        <f>RoE!T8</f>
        <v>41.970364948276291</v>
      </c>
      <c r="F103" s="97">
        <f>IoL!BR8</f>
        <v>12.272613612952686</v>
      </c>
      <c r="G103" s="97">
        <f>IoL!BU8</f>
        <v>20.827680504041172</v>
      </c>
      <c r="H103" s="97">
        <f>IoL!BX8</f>
        <v>19.56383015089909</v>
      </c>
      <c r="I103" s="97">
        <f>'Depreciation (Summary)'!R8</f>
        <v>84.632315141047656</v>
      </c>
      <c r="J103" s="97">
        <f>'Depreciation (Summary)'!S8</f>
        <v>76.980052355099374</v>
      </c>
      <c r="K103" s="97">
        <f>'Depreciation (Summary)'!T8</f>
        <v>36.587171687895555</v>
      </c>
      <c r="L103" s="97">
        <f>'O&amp;M (Summary)'!G103</f>
        <v>236.47395161224429</v>
      </c>
      <c r="M103" s="97">
        <f>'O&amp;M (Summary)'!L103</f>
        <v>259.13567541567215</v>
      </c>
      <c r="N103" s="97">
        <f>'O&amp;M (Summary)'!Q103</f>
        <v>255.54384540400218</v>
      </c>
      <c r="O103" s="97">
        <f>IoWC!R8</f>
        <v>18.877640305429413</v>
      </c>
      <c r="P103" s="97">
        <f>IoWC!S8</f>
        <v>20.653936533119083</v>
      </c>
      <c r="Q103" s="97">
        <f ca="1">IoWC!T8</f>
        <v>17.604581500284734</v>
      </c>
      <c r="R103" s="97">
        <v>1.6</v>
      </c>
      <c r="S103" s="97">
        <v>63.011598528001883</v>
      </c>
      <c r="T103" s="97">
        <f t="shared" si="32"/>
        <v>63.011598528001883</v>
      </c>
      <c r="U103" s="98">
        <f t="shared" si="33"/>
        <v>404.80096090696964</v>
      </c>
      <c r="V103" s="98">
        <f t="shared" si="30"/>
        <v>363.42379700643221</v>
      </c>
      <c r="W103" s="98">
        <f t="shared" ca="1" si="30"/>
        <v>308.25819516335594</v>
      </c>
      <c r="X103" s="98"/>
      <c r="Y103" s="98"/>
      <c r="Z103" s="98"/>
      <c r="AA103" s="97">
        <f>EC!AP98</f>
        <v>407.79324334388832</v>
      </c>
      <c r="AB103" s="97">
        <f>EC!AQ98</f>
        <v>543.97929139345763</v>
      </c>
      <c r="AC103" s="97">
        <f>EC!AR98</f>
        <v>397.9122161482851</v>
      </c>
      <c r="AD103" s="98">
        <f t="shared" si="34"/>
        <v>812.59420425085796</v>
      </c>
      <c r="AE103" s="98">
        <f t="shared" si="31"/>
        <v>907.40308839988984</v>
      </c>
      <c r="AF103" s="98">
        <f t="shared" ca="1" si="31"/>
        <v>706.17041131164103</v>
      </c>
    </row>
    <row r="104" spans="2:32" x14ac:dyDescent="0.35">
      <c r="B104" s="7" t="s">
        <v>152</v>
      </c>
      <c r="C104" s="97">
        <f>RoE!R9</f>
        <v>39.637161098152127</v>
      </c>
      <c r="D104" s="97">
        <f>RoE!S9</f>
        <v>39.126439268943678</v>
      </c>
      <c r="E104" s="97">
        <f>RoE!T9</f>
        <v>36.696101351691681</v>
      </c>
      <c r="F104" s="97">
        <f>IoL!BR9</f>
        <v>0.65881534756534477</v>
      </c>
      <c r="G104" s="97">
        <f>IoL!BU9</f>
        <v>0.98590407682400583</v>
      </c>
      <c r="H104" s="97">
        <f>IoL!BX9</f>
        <v>1.5365243949361977</v>
      </c>
      <c r="I104" s="97">
        <f>'Depreciation (Summary)'!R9</f>
        <v>24.096956519590286</v>
      </c>
      <c r="J104" s="97">
        <f>'Depreciation (Summary)'!S9</f>
        <v>127.22935994375216</v>
      </c>
      <c r="K104" s="97">
        <f>'Depreciation (Summary)'!T9</f>
        <v>42.985226435805025</v>
      </c>
      <c r="L104" s="97">
        <f>'O&amp;M (Summary)'!G104</f>
        <v>396.73562636346128</v>
      </c>
      <c r="M104" s="97">
        <f>'O&amp;M (Summary)'!L104</f>
        <v>358.42837798076647</v>
      </c>
      <c r="N104" s="97">
        <f>'O&amp;M (Summary)'!Q104</f>
        <v>357.1691453207664</v>
      </c>
      <c r="O104" s="97">
        <f>IoWC!R9</f>
        <v>48.701630597042744</v>
      </c>
      <c r="P104" s="97">
        <f>IoWC!S9</f>
        <v>63.552632415437117</v>
      </c>
      <c r="Q104" s="97">
        <f ca="1">IoWC!T9</f>
        <v>58.866998116475663</v>
      </c>
      <c r="R104" s="97">
        <v>12.54</v>
      </c>
      <c r="S104" s="97">
        <v>4.7391989647996677</v>
      </c>
      <c r="T104" s="97">
        <f t="shared" si="32"/>
        <v>4.7391989647996677</v>
      </c>
      <c r="U104" s="98">
        <f t="shared" si="33"/>
        <v>497.29018992581177</v>
      </c>
      <c r="V104" s="98">
        <f t="shared" si="30"/>
        <v>584.58351472092363</v>
      </c>
      <c r="W104" s="98">
        <f t="shared" ca="1" si="30"/>
        <v>492.51479665487534</v>
      </c>
      <c r="X104" s="98"/>
      <c r="Y104" s="98"/>
      <c r="Z104" s="98"/>
      <c r="AA104" s="97">
        <f>EC!AP99</f>
        <v>1478.84082696</v>
      </c>
      <c r="AB104" s="97">
        <f>EC!AQ99</f>
        <v>2101.4705731999411</v>
      </c>
      <c r="AC104" s="97">
        <f>EC!AR99</f>
        <v>1828.7790791385116</v>
      </c>
      <c r="AD104" s="98">
        <f t="shared" si="34"/>
        <v>1976.1310168858117</v>
      </c>
      <c r="AE104" s="98">
        <f t="shared" si="31"/>
        <v>2686.0540879208647</v>
      </c>
      <c r="AF104" s="98">
        <f t="shared" ca="1" si="31"/>
        <v>2321.2938757933871</v>
      </c>
    </row>
    <row r="105" spans="2:32" x14ac:dyDescent="0.35">
      <c r="B105" s="7" t="s">
        <v>154</v>
      </c>
      <c r="C105" s="97">
        <f>RoE!R10</f>
        <v>47.738196713267612</v>
      </c>
      <c r="D105" s="97">
        <f>RoE!S10</f>
        <v>48.431304827972106</v>
      </c>
      <c r="E105" s="97">
        <f>RoE!T10</f>
        <v>48.071091562154095</v>
      </c>
      <c r="F105" s="97">
        <f>IoL!BR10</f>
        <v>6.1728843621439822</v>
      </c>
      <c r="G105" s="97">
        <f>IoL!BU10</f>
        <v>16.931465634530163</v>
      </c>
      <c r="H105" s="97">
        <f>IoL!BX10</f>
        <v>8.693958034789194</v>
      </c>
      <c r="I105" s="97">
        <f>'Depreciation (Summary)'!R10</f>
        <v>37.999916047555644</v>
      </c>
      <c r="J105" s="97">
        <f>'Depreciation (Summary)'!S10</f>
        <v>33.399548113165096</v>
      </c>
      <c r="K105" s="97">
        <f>'Depreciation (Summary)'!T10</f>
        <v>74.513004021804846</v>
      </c>
      <c r="L105" s="97">
        <f>'O&amp;M (Summary)'!G105</f>
        <v>96.17700139818308</v>
      </c>
      <c r="M105" s="97">
        <f>'O&amp;M (Summary)'!L105</f>
        <v>107.15947509234651</v>
      </c>
      <c r="N105" s="97">
        <f>'O&amp;M (Summary)'!Q105</f>
        <v>107.05562085234654</v>
      </c>
      <c r="O105" s="97">
        <f>IoWC!R10</f>
        <v>27.944820252643563</v>
      </c>
      <c r="P105" s="97">
        <f>IoWC!S10</f>
        <v>176.50058281259803</v>
      </c>
      <c r="Q105" s="97">
        <f ca="1">IoWC!T10</f>
        <v>45.839542438584175</v>
      </c>
      <c r="R105" s="97">
        <v>2.38</v>
      </c>
      <c r="S105" s="97">
        <v>1.1387896891196454</v>
      </c>
      <c r="T105" s="97">
        <f t="shared" si="32"/>
        <v>1.1387896891196454</v>
      </c>
      <c r="U105" s="98">
        <f t="shared" si="33"/>
        <v>213.65281877379388</v>
      </c>
      <c r="V105" s="98">
        <f t="shared" si="30"/>
        <v>381.28358679149227</v>
      </c>
      <c r="W105" s="98">
        <f t="shared" ca="1" si="30"/>
        <v>283.03442722055917</v>
      </c>
      <c r="X105" s="98"/>
      <c r="Y105" s="98"/>
      <c r="Z105" s="98"/>
      <c r="AA105" s="97">
        <f>EC!AP100</f>
        <v>875.32138651507216</v>
      </c>
      <c r="AB105" s="97">
        <f>EC!AQ100</f>
        <v>1358.8563375506694</v>
      </c>
      <c r="AC105" s="97">
        <f>EC!AR100</f>
        <v>1469.4415678005437</v>
      </c>
      <c r="AD105" s="98">
        <f t="shared" si="34"/>
        <v>1088.974205288866</v>
      </c>
      <c r="AE105" s="98">
        <f t="shared" si="31"/>
        <v>1740.1399243421617</v>
      </c>
      <c r="AF105" s="98">
        <f t="shared" ca="1" si="31"/>
        <v>1752.4759950211028</v>
      </c>
    </row>
    <row r="106" spans="2:32" x14ac:dyDescent="0.35">
      <c r="B106" s="7" t="s">
        <v>155</v>
      </c>
      <c r="C106" s="97">
        <f>RoE!R11</f>
        <v>137.73538370248286</v>
      </c>
      <c r="D106" s="97">
        <f>RoE!S11</f>
        <v>148.53656215586639</v>
      </c>
      <c r="E106" s="97">
        <f>RoE!T11</f>
        <v>143.88058158986038</v>
      </c>
      <c r="F106" s="97">
        <f>IoL!BR11</f>
        <v>16.021350780367641</v>
      </c>
      <c r="G106" s="97">
        <f>IoL!BU11</f>
        <v>35.651696435414578</v>
      </c>
      <c r="H106" s="97">
        <f>IoL!BX11</f>
        <v>28.802197668146594</v>
      </c>
      <c r="I106" s="97">
        <f>'Depreciation (Summary)'!R11</f>
        <v>75.057657638044375</v>
      </c>
      <c r="J106" s="97">
        <f>'Depreciation (Summary)'!S11</f>
        <v>171.89472403230772</v>
      </c>
      <c r="K106" s="97">
        <f>'Depreciation (Summary)'!T11</f>
        <v>166.28497194217772</v>
      </c>
      <c r="L106" s="97">
        <f>'O&amp;M (Summary)'!G106</f>
        <v>201.35022918622565</v>
      </c>
      <c r="M106" s="97">
        <f>'O&amp;M (Summary)'!L106</f>
        <v>276.35951309173436</v>
      </c>
      <c r="N106" s="97">
        <f>'O&amp;M (Summary)'!Q106</f>
        <v>193.41497207464974</v>
      </c>
      <c r="O106" s="97">
        <f>IoWC!R11</f>
        <v>37.939889075611227</v>
      </c>
      <c r="P106" s="97">
        <f>IoWC!S11</f>
        <v>42.206892791906604</v>
      </c>
      <c r="Q106" s="97">
        <f ca="1">IoWC!T11</f>
        <v>43.01743013028625</v>
      </c>
      <c r="R106" s="97">
        <v>3.94</v>
      </c>
      <c r="S106" s="97">
        <v>4.1007608142854499</v>
      </c>
      <c r="T106" s="97">
        <f t="shared" si="32"/>
        <v>4.1007608142854499</v>
      </c>
      <c r="U106" s="98">
        <f t="shared" si="33"/>
        <v>464.16451038273175</v>
      </c>
      <c r="V106" s="98">
        <f t="shared" si="30"/>
        <v>670.54862769294425</v>
      </c>
      <c r="W106" s="98">
        <f t="shared" ca="1" si="30"/>
        <v>571.29939259083528</v>
      </c>
      <c r="X106" s="98"/>
      <c r="Y106" s="98"/>
      <c r="Z106" s="98"/>
      <c r="AA106" s="97">
        <f>EC!AP101</f>
        <v>1050.84225953245</v>
      </c>
      <c r="AB106" s="97">
        <f>EC!AQ101</f>
        <v>1163.139856736057</v>
      </c>
      <c r="AC106" s="97">
        <f>EC!AR101</f>
        <v>1166.9944255720991</v>
      </c>
      <c r="AD106" s="98">
        <f t="shared" si="34"/>
        <v>1515.0067699151818</v>
      </c>
      <c r="AE106" s="98">
        <f t="shared" si="31"/>
        <v>1833.6884844290012</v>
      </c>
      <c r="AF106" s="98">
        <f t="shared" ca="1" si="31"/>
        <v>1738.2938181629343</v>
      </c>
    </row>
    <row r="107" spans="2:32" x14ac:dyDescent="0.35">
      <c r="B107" s="7" t="s">
        <v>156</v>
      </c>
      <c r="C107" s="97">
        <f>RoE!R12</f>
        <v>135.50420510300566</v>
      </c>
      <c r="D107" s="97">
        <f>RoE!S12</f>
        <v>154.80327225085728</v>
      </c>
      <c r="E107" s="97">
        <f>RoE!T12</f>
        <v>136.21645369529327</v>
      </c>
      <c r="F107" s="97">
        <f>IoL!BR12</f>
        <v>0.65633350156924863</v>
      </c>
      <c r="G107" s="97">
        <f>IoL!BU12</f>
        <v>30.461787623946947</v>
      </c>
      <c r="H107" s="97">
        <f>IoL!BX12</f>
        <v>6.3981964590137377</v>
      </c>
      <c r="I107" s="97">
        <f>'Depreciation (Summary)'!R12</f>
        <v>68.579264616923467</v>
      </c>
      <c r="J107" s="97">
        <f>'Depreciation (Summary)'!S12</f>
        <v>184.7263812400241</v>
      </c>
      <c r="K107" s="97">
        <f>'Depreciation (Summary)'!T12</f>
        <v>90.0166174663932</v>
      </c>
      <c r="L107" s="97">
        <f>'O&amp;M (Summary)'!G107</f>
        <v>205.57346109860634</v>
      </c>
      <c r="M107" s="97">
        <f>'O&amp;M (Summary)'!L107</f>
        <v>213.88359093398356</v>
      </c>
      <c r="N107" s="97">
        <f>'O&amp;M (Summary)'!Q107</f>
        <v>196.70985505716877</v>
      </c>
      <c r="O107" s="97">
        <f>IoWC!R12</f>
        <v>46.702467894915138</v>
      </c>
      <c r="P107" s="97">
        <f>IoWC!S12</f>
        <v>52.219012596677167</v>
      </c>
      <c r="Q107" s="97">
        <f ca="1">IoWC!T12</f>
        <v>56.830143378461671</v>
      </c>
      <c r="R107" s="97">
        <v>3.95</v>
      </c>
      <c r="S107" s="97">
        <v>3.9144664376187768</v>
      </c>
      <c r="T107" s="97">
        <f t="shared" si="32"/>
        <v>3.9144664376187768</v>
      </c>
      <c r="U107" s="98">
        <f t="shared" si="33"/>
        <v>453.06573221501986</v>
      </c>
      <c r="V107" s="98">
        <f t="shared" si="30"/>
        <v>632.17957820787024</v>
      </c>
      <c r="W107" s="98">
        <f t="shared" ca="1" si="30"/>
        <v>482.25679961871185</v>
      </c>
      <c r="X107" s="98"/>
      <c r="Y107" s="98"/>
      <c r="Z107" s="98"/>
      <c r="AA107" s="97">
        <f>EC!AP102</f>
        <v>1402.1148552555601</v>
      </c>
      <c r="AB107" s="97">
        <f>EC!AQ102</f>
        <v>1592.1335534949781</v>
      </c>
      <c r="AC107" s="97">
        <f>EC!AR102</f>
        <v>1720.7990823220232</v>
      </c>
      <c r="AD107" s="98">
        <f t="shared" si="34"/>
        <v>1855.1805874705799</v>
      </c>
      <c r="AE107" s="98">
        <f t="shared" si="31"/>
        <v>2224.3131317028483</v>
      </c>
      <c r="AF107" s="98">
        <f t="shared" ca="1" si="31"/>
        <v>2203.0558819407352</v>
      </c>
    </row>
    <row r="108" spans="2:32" x14ac:dyDescent="0.35">
      <c r="B108" s="7" t="s">
        <v>8</v>
      </c>
      <c r="C108" s="97">
        <f>RoE!R13</f>
        <v>111.55165667766201</v>
      </c>
      <c r="D108" s="97">
        <f>RoE!S13</f>
        <v>127.57794918830463</v>
      </c>
      <c r="E108" s="97">
        <f>RoE!T13</f>
        <v>122.74594318620689</v>
      </c>
      <c r="F108" s="97">
        <f>IoL!BR13</f>
        <v>48.7936647641232</v>
      </c>
      <c r="G108" s="97">
        <f>IoL!BU13</f>
        <v>64.074820611722259</v>
      </c>
      <c r="H108" s="97">
        <f>IoL!BX13</f>
        <v>58.047215429854027</v>
      </c>
      <c r="I108" s="97">
        <f>'Depreciation (Summary)'!R13</f>
        <v>188.48715203281691</v>
      </c>
      <c r="J108" s="97">
        <f>'Depreciation (Summary)'!S13</f>
        <v>209.15516046390499</v>
      </c>
      <c r="K108" s="97">
        <f>'Depreciation (Summary)'!T13</f>
        <v>203.47180060192028</v>
      </c>
      <c r="L108" s="97">
        <f>'O&amp;M (Summary)'!G108</f>
        <v>144.10713624195478</v>
      </c>
      <c r="M108" s="97">
        <f>'O&amp;M (Summary)'!L108</f>
        <v>184.68623693962749</v>
      </c>
      <c r="N108" s="97">
        <f>'O&amp;M (Summary)'!Q108</f>
        <v>158.59598030059539</v>
      </c>
      <c r="O108" s="97">
        <f>IoWC!R13</f>
        <v>34.837531450018261</v>
      </c>
      <c r="P108" s="97">
        <f>IoWC!S13</f>
        <v>47.55645146553293</v>
      </c>
      <c r="Q108" s="97">
        <f ca="1">IoWC!T13</f>
        <v>49.929197442104019</v>
      </c>
      <c r="R108" s="97">
        <v>4.0999999999999996</v>
      </c>
      <c r="S108" s="97">
        <v>8.1352187124048534</v>
      </c>
      <c r="T108" s="97">
        <f t="shared" si="32"/>
        <v>8.1352187124048534</v>
      </c>
      <c r="U108" s="98">
        <f t="shared" si="33"/>
        <v>523.6771411665751</v>
      </c>
      <c r="V108" s="98">
        <f t="shared" si="30"/>
        <v>624.91539995668757</v>
      </c>
      <c r="W108" s="98">
        <f t="shared" ca="1" si="30"/>
        <v>584.65491824827575</v>
      </c>
      <c r="X108" s="98"/>
      <c r="Y108" s="98"/>
      <c r="Z108" s="98"/>
      <c r="AA108" s="97">
        <f>EC!AP103</f>
        <v>909.49369966876225</v>
      </c>
      <c r="AB108" s="97">
        <f>EC!AQ103</f>
        <v>1393.6027083482454</v>
      </c>
      <c r="AC108" s="97">
        <f>EC!AR103</f>
        <v>1406.3640899065917</v>
      </c>
      <c r="AD108" s="98">
        <f t="shared" si="34"/>
        <v>1433.1708408353375</v>
      </c>
      <c r="AE108" s="98">
        <f t="shared" si="31"/>
        <v>2018.5181083049329</v>
      </c>
      <c r="AF108" s="98">
        <f t="shared" ca="1" si="31"/>
        <v>1991.0190081548676</v>
      </c>
    </row>
    <row r="109" spans="2:32" x14ac:dyDescent="0.35">
      <c r="B109" s="7" t="s">
        <v>157</v>
      </c>
      <c r="C109" s="97">
        <f>RoE!R14</f>
        <v>184.95812023473187</v>
      </c>
      <c r="D109" s="97">
        <f>RoE!S14</f>
        <v>209.42200573245185</v>
      </c>
      <c r="E109" s="97">
        <f>RoE!T14</f>
        <v>194.07213069277211</v>
      </c>
      <c r="F109" s="97">
        <f>IoL!BR14</f>
        <v>128.38397322828601</v>
      </c>
      <c r="G109" s="97">
        <f>IoL!BU14</f>
        <v>168.62555842160225</v>
      </c>
      <c r="H109" s="97">
        <f>IoL!BX14</f>
        <v>143.7577505818214</v>
      </c>
      <c r="I109" s="97">
        <f>'Depreciation (Summary)'!R14</f>
        <v>343.32847642594419</v>
      </c>
      <c r="J109" s="97">
        <f>'Depreciation (Summary)'!S14</f>
        <v>379.36669524854523</v>
      </c>
      <c r="K109" s="97">
        <f>'Depreciation (Summary)'!T14</f>
        <v>358.87160437193887</v>
      </c>
      <c r="L109" s="97">
        <f>'O&amp;M (Summary)'!G109</f>
        <v>299.76514847646456</v>
      </c>
      <c r="M109" s="97">
        <f>'O&amp;M (Summary)'!L109</f>
        <v>294.02916646807796</v>
      </c>
      <c r="N109" s="97">
        <f>'O&amp;M (Summary)'!Q109</f>
        <v>265.15690238780292</v>
      </c>
      <c r="O109" s="97">
        <f>IoWC!R14</f>
        <v>87.47550922306408</v>
      </c>
      <c r="P109" s="97">
        <f>IoWC!S14</f>
        <v>98.721614797615857</v>
      </c>
      <c r="Q109" s="97">
        <f ca="1">IoWC!T14</f>
        <v>91.768245235933193</v>
      </c>
      <c r="R109" s="97">
        <v>14.87</v>
      </c>
      <c r="S109" s="97">
        <v>7.7821512877304109</v>
      </c>
      <c r="T109" s="97">
        <f t="shared" si="32"/>
        <v>7.7821512877304109</v>
      </c>
      <c r="U109" s="98">
        <f t="shared" si="33"/>
        <v>1029.0412275884908</v>
      </c>
      <c r="V109" s="98">
        <f t="shared" si="30"/>
        <v>1142.3828893805628</v>
      </c>
      <c r="W109" s="98">
        <f t="shared" ca="1" si="30"/>
        <v>1045.8444819825381</v>
      </c>
      <c r="X109" s="98"/>
      <c r="Y109" s="98"/>
      <c r="Z109" s="98"/>
      <c r="AA109" s="97">
        <f>EC!AP104</f>
        <v>2530.2252600000002</v>
      </c>
      <c r="AB109" s="97">
        <f>EC!AQ104</f>
        <v>3037.2103372504089</v>
      </c>
      <c r="AC109" s="97">
        <f>EC!AR104</f>
        <v>2621.9950598721307</v>
      </c>
      <c r="AD109" s="98">
        <f t="shared" si="34"/>
        <v>3559.2664875884911</v>
      </c>
      <c r="AE109" s="98">
        <f t="shared" si="31"/>
        <v>4179.5932266309719</v>
      </c>
      <c r="AF109" s="98">
        <f t="shared" ca="1" si="31"/>
        <v>3667.8395418546688</v>
      </c>
    </row>
    <row r="110" spans="2:32" x14ac:dyDescent="0.35">
      <c r="B110" s="7" t="s">
        <v>158</v>
      </c>
      <c r="C110" s="97">
        <f>RoE!R15</f>
        <v>400.91490803406629</v>
      </c>
      <c r="D110" s="97">
        <f>RoE!S15</f>
        <v>492.97708301429981</v>
      </c>
      <c r="E110" s="97">
        <f>RoE!T15</f>
        <v>456.46602238331366</v>
      </c>
      <c r="F110" s="97">
        <f>IoL!BR15</f>
        <v>446.77613897211342</v>
      </c>
      <c r="G110" s="97">
        <f>IoL!BU15</f>
        <v>575.33756351590046</v>
      </c>
      <c r="H110" s="97">
        <f>IoL!BX15</f>
        <v>522.65735650358374</v>
      </c>
      <c r="I110" s="97">
        <f>'Depreciation (Summary)'!R15</f>
        <v>658.23935383780542</v>
      </c>
      <c r="J110" s="97">
        <f>'Depreciation (Summary)'!S15</f>
        <v>779.94832053683604</v>
      </c>
      <c r="K110" s="97">
        <f>'Depreciation (Summary)'!T15</f>
        <v>734.04864107994422</v>
      </c>
      <c r="L110" s="97">
        <f>'O&amp;M (Summary)'!G110</f>
        <v>451.89558038240204</v>
      </c>
      <c r="M110" s="97">
        <f>'O&amp;M (Summary)'!L110</f>
        <v>554.02716032304886</v>
      </c>
      <c r="N110" s="97">
        <f>'O&amp;M (Summary)'!Q110</f>
        <v>476.76340659107251</v>
      </c>
      <c r="O110" s="97">
        <f>IoWC!R15</f>
        <v>104.61951523018904</v>
      </c>
      <c r="P110" s="97">
        <f>IoWC!S15</f>
        <v>173.86651931450766</v>
      </c>
      <c r="Q110" s="97">
        <f ca="1">IoWC!T15</f>
        <v>142.33849816073544</v>
      </c>
      <c r="R110" s="97">
        <v>7.27</v>
      </c>
      <c r="S110" s="97">
        <v>10.916171004282507</v>
      </c>
      <c r="T110" s="97">
        <f t="shared" si="32"/>
        <v>10.916171004282507</v>
      </c>
      <c r="U110" s="98">
        <f t="shared" si="33"/>
        <v>2055.1754964565762</v>
      </c>
      <c r="V110" s="98">
        <f t="shared" si="30"/>
        <v>2565.2404757003101</v>
      </c>
      <c r="W110" s="98">
        <f t="shared" ca="1" si="30"/>
        <v>2321.3577537143669</v>
      </c>
      <c r="X110" s="98"/>
      <c r="Y110" s="98"/>
      <c r="Z110" s="98"/>
      <c r="AA110" s="97">
        <f>EC!AP105</f>
        <v>2463.9059968790762</v>
      </c>
      <c r="AB110" s="97">
        <f>EC!AQ105</f>
        <v>5039.1234059095759</v>
      </c>
      <c r="AC110" s="97">
        <f>EC!AR105</f>
        <v>3645.6412751057605</v>
      </c>
      <c r="AD110" s="98">
        <f t="shared" si="34"/>
        <v>4519.0814933356523</v>
      </c>
      <c r="AE110" s="98">
        <f t="shared" si="31"/>
        <v>7604.3638816098864</v>
      </c>
      <c r="AF110" s="98">
        <f t="shared" ca="1" si="31"/>
        <v>5966.9990288201279</v>
      </c>
    </row>
    <row r="111" spans="2:32" x14ac:dyDescent="0.35">
      <c r="B111" s="7" t="s">
        <v>159</v>
      </c>
      <c r="C111" s="97">
        <f>RoE!R16</f>
        <v>174.08648620208271</v>
      </c>
      <c r="D111" s="97">
        <f>RoE!S16</f>
        <v>202.42042701492468</v>
      </c>
      <c r="E111" s="97">
        <f>RoE!T16</f>
        <v>198.89606124401305</v>
      </c>
      <c r="F111" s="97">
        <f>IoL!BR16</f>
        <v>258.46687476105939</v>
      </c>
      <c r="G111" s="97">
        <f>IoL!BU16</f>
        <v>296.47542114682761</v>
      </c>
      <c r="H111" s="97">
        <f>IoL!BX16</f>
        <v>290.79859491915926</v>
      </c>
      <c r="I111" s="97">
        <f>'Depreciation (Summary)'!R16</f>
        <v>331.72142985262303</v>
      </c>
      <c r="J111" s="97">
        <f>'Depreciation (Summary)'!S16</f>
        <v>370.87760017413001</v>
      </c>
      <c r="K111" s="97">
        <f>'Depreciation (Summary)'!T16</f>
        <v>366.44700119969195</v>
      </c>
      <c r="L111" s="97">
        <f>'O&amp;M (Summary)'!G111</f>
        <v>269.17570358008339</v>
      </c>
      <c r="M111" s="97">
        <f>'O&amp;M (Summary)'!L111</f>
        <v>304.71674224244077</v>
      </c>
      <c r="N111" s="97">
        <f>'O&amp;M (Summary)'!Q111</f>
        <v>286.1790899235358</v>
      </c>
      <c r="O111" s="97">
        <f>IoWC!R16</f>
        <v>69.608704139931731</v>
      </c>
      <c r="P111" s="97">
        <f>IoWC!S16</f>
        <v>94.880851821530712</v>
      </c>
      <c r="Q111" s="97">
        <f ca="1">IoWC!T16</f>
        <v>88.309245325853794</v>
      </c>
      <c r="R111" s="97">
        <v>15.14</v>
      </c>
      <c r="S111" s="97">
        <v>2.3649168816804895</v>
      </c>
      <c r="T111" s="97">
        <f t="shared" si="32"/>
        <v>2.3649168816804895</v>
      </c>
      <c r="U111" s="98">
        <f t="shared" si="33"/>
        <v>1087.91919853578</v>
      </c>
      <c r="V111" s="98">
        <f t="shared" si="30"/>
        <v>1267.0061255181733</v>
      </c>
      <c r="W111" s="98">
        <f t="shared" ca="1" si="30"/>
        <v>1228.2650757305732</v>
      </c>
      <c r="X111" s="98"/>
      <c r="Y111" s="98"/>
      <c r="Z111" s="98"/>
      <c r="AA111" s="97">
        <f>EC!AP106</f>
        <v>1848.11926644</v>
      </c>
      <c r="AB111" s="97">
        <f>EC!AQ106</f>
        <v>2839.6796951539282</v>
      </c>
      <c r="AC111" s="97">
        <f>EC!AR106</f>
        <v>2409.0528376162802</v>
      </c>
      <c r="AD111" s="98">
        <f t="shared" si="34"/>
        <v>2936.0384649757798</v>
      </c>
      <c r="AE111" s="98">
        <f t="shared" si="31"/>
        <v>4106.6858206721017</v>
      </c>
      <c r="AF111" s="98">
        <f t="shared" ca="1" si="31"/>
        <v>3637.3179133468534</v>
      </c>
    </row>
    <row r="112" spans="2:32" x14ac:dyDescent="0.35">
      <c r="B112" s="7" t="s">
        <v>160</v>
      </c>
      <c r="C112" s="97">
        <f>RoE!R17</f>
        <v>58.553913321374722</v>
      </c>
      <c r="D112" s="97">
        <f>RoE!S17</f>
        <v>64.037620264382724</v>
      </c>
      <c r="E112" s="97">
        <f>RoE!T17</f>
        <v>61.238095653632676</v>
      </c>
      <c r="F112" s="97">
        <f>IoL!BR17</f>
        <v>81.784830672975659</v>
      </c>
      <c r="G112" s="97">
        <f>IoL!BU17</f>
        <v>95.777772833196053</v>
      </c>
      <c r="H112" s="97">
        <f>IoL!BX17</f>
        <v>90.987939044643952</v>
      </c>
      <c r="I112" s="97">
        <f>'Depreciation (Summary)'!R17</f>
        <v>99.354411052578115</v>
      </c>
      <c r="J112" s="97">
        <f>'Depreciation (Summary)'!S17</f>
        <v>107.22896856465526</v>
      </c>
      <c r="K112" s="97">
        <f>'Depreciation (Summary)'!T17</f>
        <v>103.70981115619264</v>
      </c>
      <c r="L112" s="97">
        <f>'O&amp;M (Summary)'!G112</f>
        <v>114.14609784079548</v>
      </c>
      <c r="M112" s="97">
        <f>'O&amp;M (Summary)'!L112</f>
        <v>121.37615545654532</v>
      </c>
      <c r="N112" s="97">
        <f>'O&amp;M (Summary)'!Q112</f>
        <v>100.37068196877691</v>
      </c>
      <c r="O112" s="97">
        <f>IoWC!R17</f>
        <v>23.793792558888121</v>
      </c>
      <c r="P112" s="97">
        <f>IoWC!S17</f>
        <v>28.524361113691743</v>
      </c>
      <c r="Q112" s="97">
        <f ca="1">IoWC!T17</f>
        <v>30.496295765230879</v>
      </c>
      <c r="R112" s="97">
        <v>1.08</v>
      </c>
      <c r="S112" s="97">
        <v>2.1413789488093924</v>
      </c>
      <c r="T112" s="97">
        <f t="shared" si="32"/>
        <v>2.1413789488093924</v>
      </c>
      <c r="U112" s="98">
        <f t="shared" si="33"/>
        <v>376.55304544661215</v>
      </c>
      <c r="V112" s="98">
        <f t="shared" si="30"/>
        <v>414.80349928366167</v>
      </c>
      <c r="W112" s="98">
        <f t="shared" ca="1" si="30"/>
        <v>384.66144463966765</v>
      </c>
      <c r="X112" s="98"/>
      <c r="Y112" s="98"/>
      <c r="Z112" s="98"/>
      <c r="AA112" s="97">
        <f>EC!AP107</f>
        <v>633.68648278649994</v>
      </c>
      <c r="AB112" s="97">
        <f>EC!AQ107</f>
        <v>829.44145584541968</v>
      </c>
      <c r="AC112" s="97">
        <f>EC!AR107</f>
        <v>860.47281611280198</v>
      </c>
      <c r="AD112" s="98">
        <f t="shared" si="34"/>
        <v>1010.2395282331121</v>
      </c>
      <c r="AE112" s="98">
        <f t="shared" si="31"/>
        <v>1244.2449551290813</v>
      </c>
      <c r="AF112" s="98">
        <f t="shared" ca="1" si="31"/>
        <v>1245.1342607524696</v>
      </c>
    </row>
    <row r="113" spans="2:32" x14ac:dyDescent="0.35">
      <c r="B113" s="7" t="s">
        <v>161</v>
      </c>
      <c r="C113" s="97">
        <f>RoE!R18</f>
        <v>13.417705649511909</v>
      </c>
      <c r="D113" s="97">
        <f>RoE!S18</f>
        <v>14.830635239455987</v>
      </c>
      <c r="E113" s="97">
        <f>RoE!T18</f>
        <v>10.974546889411986</v>
      </c>
      <c r="F113" s="97">
        <f>IoL!BR18</f>
        <v>10.144095771969528</v>
      </c>
      <c r="G113" s="97">
        <f>IoL!BU18</f>
        <v>15.387954504711244</v>
      </c>
      <c r="H113" s="97">
        <f>IoL!BX18</f>
        <v>10.009927695996728</v>
      </c>
      <c r="I113" s="97">
        <f>'Depreciation (Summary)'!R18</f>
        <v>27.257101619518505</v>
      </c>
      <c r="J113" s="97">
        <f>'Depreciation (Summary)'!S18</f>
        <v>21.93443711376807</v>
      </c>
      <c r="K113" s="97">
        <f>'Depreciation (Summary)'!T18</f>
        <v>19.070698708523864</v>
      </c>
      <c r="L113" s="97">
        <f>'O&amp;M (Summary)'!G113</f>
        <v>236.88547093561402</v>
      </c>
      <c r="M113" s="97">
        <f>'O&amp;M (Summary)'!L113</f>
        <v>261.56659392222844</v>
      </c>
      <c r="N113" s="97">
        <f>'O&amp;M (Summary)'!Q113</f>
        <v>261.56617630722837</v>
      </c>
      <c r="O113" s="97">
        <f>IoWC!R18</f>
        <v>12.02125744796087</v>
      </c>
      <c r="P113" s="97">
        <f>IoWC!S18</f>
        <v>11.69</v>
      </c>
      <c r="Q113" s="97">
        <f ca="1">IoWC!T18</f>
        <v>12.188927768453091</v>
      </c>
      <c r="R113" s="97">
        <v>4.76</v>
      </c>
      <c r="S113" s="97">
        <v>3.3896296890000004</v>
      </c>
      <c r="T113" s="97">
        <f t="shared" si="32"/>
        <v>3.3896296890000004</v>
      </c>
      <c r="U113" s="98">
        <f t="shared" si="33"/>
        <v>294.96563142457484</v>
      </c>
      <c r="V113" s="98">
        <f t="shared" si="30"/>
        <v>322.01999109116372</v>
      </c>
      <c r="W113" s="98">
        <f t="shared" ca="1" si="30"/>
        <v>310.42064768061402</v>
      </c>
      <c r="X113" s="97">
        <v>525.54999999999995</v>
      </c>
      <c r="Y113" s="129">
        <v>525.54999999999995</v>
      </c>
      <c r="Z113" s="129">
        <f>X113</f>
        <v>525.54999999999995</v>
      </c>
      <c r="AA113" s="97"/>
      <c r="AB113" s="97"/>
      <c r="AC113" s="97"/>
      <c r="AD113" s="98">
        <f t="shared" si="34"/>
        <v>820.51563142457485</v>
      </c>
      <c r="AE113" s="98">
        <f t="shared" si="31"/>
        <v>847.56999109116373</v>
      </c>
      <c r="AF113" s="98">
        <f t="shared" ca="1" si="31"/>
        <v>835.97064768061398</v>
      </c>
    </row>
    <row r="114" spans="2:32" x14ac:dyDescent="0.35">
      <c r="B114" s="12" t="s">
        <v>27</v>
      </c>
      <c r="C114" s="98">
        <f>SUM(C100:C113)</f>
        <v>1656.500805739212</v>
      </c>
      <c r="D114" s="98">
        <f>SUM(D100:D113)</f>
        <v>1930.0648279044829</v>
      </c>
      <c r="E114" s="98">
        <f t="shared" ref="E114:AF114" si="35">SUM(E100:E113)</f>
        <v>1785.8008787395586</v>
      </c>
      <c r="F114" s="98">
        <f t="shared" si="35"/>
        <v>1074.3040847480195</v>
      </c>
      <c r="G114" s="98">
        <f t="shared" si="35"/>
        <v>1494.5134844716101</v>
      </c>
      <c r="H114" s="98">
        <f t="shared" si="35"/>
        <v>1298.6439152882976</v>
      </c>
      <c r="I114" s="98">
        <f t="shared" si="35"/>
        <v>2084.4190324936071</v>
      </c>
      <c r="J114" s="98">
        <f t="shared" si="35"/>
        <v>2898.7577184932434</v>
      </c>
      <c r="K114" s="98">
        <f t="shared" si="35"/>
        <v>2496.6428180407938</v>
      </c>
      <c r="L114" s="98">
        <f t="shared" si="35"/>
        <v>3836.6417331272469</v>
      </c>
      <c r="M114" s="98">
        <f t="shared" si="35"/>
        <v>4152.1538835500432</v>
      </c>
      <c r="N114" s="98">
        <f t="shared" si="35"/>
        <v>3928.6683297951031</v>
      </c>
      <c r="O114" s="98">
        <f t="shared" si="35"/>
        <v>676.80286888336389</v>
      </c>
      <c r="P114" s="98">
        <f t="shared" si="35"/>
        <v>1066.7551074841556</v>
      </c>
      <c r="Q114" s="98">
        <f t="shared" ca="1" si="35"/>
        <v>870.07528572624074</v>
      </c>
      <c r="R114" s="98">
        <f t="shared" si="35"/>
        <v>99.12</v>
      </c>
      <c r="S114" s="98">
        <f t="shared" si="35"/>
        <v>133.06627358900005</v>
      </c>
      <c r="T114" s="98">
        <f t="shared" si="35"/>
        <v>133.06627358900005</v>
      </c>
      <c r="U114" s="98">
        <f t="shared" si="35"/>
        <v>9229.5485249914491</v>
      </c>
      <c r="V114" s="98">
        <f t="shared" si="35"/>
        <v>11409.178748314536</v>
      </c>
      <c r="W114" s="98">
        <f t="shared" ca="1" si="35"/>
        <v>10246.764954000993</v>
      </c>
      <c r="X114" s="98">
        <f t="shared" si="35"/>
        <v>525.54999999999995</v>
      </c>
      <c r="Y114" s="98">
        <f t="shared" si="35"/>
        <v>525.54999999999995</v>
      </c>
      <c r="Z114" s="98">
        <f t="shared" si="35"/>
        <v>525.54999999999995</v>
      </c>
      <c r="AA114" s="98">
        <f t="shared" si="35"/>
        <v>18387.967453426747</v>
      </c>
      <c r="AB114" s="98">
        <f t="shared" si="35"/>
        <v>28223.427239018612</v>
      </c>
      <c r="AC114" s="98">
        <f t="shared" si="35"/>
        <v>24517.79711614663</v>
      </c>
      <c r="AD114" s="98">
        <f t="shared" si="35"/>
        <v>28143.065978418199</v>
      </c>
      <c r="AE114" s="98">
        <f t="shared" si="35"/>
        <v>40158.155987333143</v>
      </c>
      <c r="AF114" s="98">
        <f t="shared" ca="1" si="35"/>
        <v>35290.112070147625</v>
      </c>
    </row>
  </sheetData>
  <mergeCells count="69">
    <mergeCell ref="AA98:AC98"/>
    <mergeCell ref="AD98:AF98"/>
    <mergeCell ref="B98:B99"/>
    <mergeCell ref="C98:E98"/>
    <mergeCell ref="F98:H98"/>
    <mergeCell ref="I98:K98"/>
    <mergeCell ref="L98:N98"/>
    <mergeCell ref="O98:Q98"/>
    <mergeCell ref="O79:Q79"/>
    <mergeCell ref="R79:T79"/>
    <mergeCell ref="U79:W79"/>
    <mergeCell ref="X79:Z79"/>
    <mergeCell ref="R98:T98"/>
    <mergeCell ref="U98:W98"/>
    <mergeCell ref="X98:Z98"/>
    <mergeCell ref="AA79:AC79"/>
    <mergeCell ref="AD79:AF79"/>
    <mergeCell ref="R60:T60"/>
    <mergeCell ref="U60:W60"/>
    <mergeCell ref="X60:Z60"/>
    <mergeCell ref="AA60:AC60"/>
    <mergeCell ref="AD60:AF60"/>
    <mergeCell ref="B79:B80"/>
    <mergeCell ref="C79:E79"/>
    <mergeCell ref="F79:H79"/>
    <mergeCell ref="I79:K79"/>
    <mergeCell ref="L79:N79"/>
    <mergeCell ref="B60:B61"/>
    <mergeCell ref="C60:E60"/>
    <mergeCell ref="F60:H60"/>
    <mergeCell ref="I60:K60"/>
    <mergeCell ref="L60:N60"/>
    <mergeCell ref="O60:Q60"/>
    <mergeCell ref="R41:T41"/>
    <mergeCell ref="U41:W41"/>
    <mergeCell ref="X41:Z41"/>
    <mergeCell ref="AA41:AC41"/>
    <mergeCell ref="AD41:AF41"/>
    <mergeCell ref="AG41:AG42"/>
    <mergeCell ref="B41:B42"/>
    <mergeCell ref="C41:E41"/>
    <mergeCell ref="F41:H41"/>
    <mergeCell ref="I41:K41"/>
    <mergeCell ref="L41:N41"/>
    <mergeCell ref="O41:Q41"/>
    <mergeCell ref="AG22:AG23"/>
    <mergeCell ref="B22:B23"/>
    <mergeCell ref="C22:E22"/>
    <mergeCell ref="F22:H22"/>
    <mergeCell ref="I22:K22"/>
    <mergeCell ref="L22:N22"/>
    <mergeCell ref="O22:Q22"/>
    <mergeCell ref="R22:T22"/>
    <mergeCell ref="U22:W22"/>
    <mergeCell ref="X22:Z22"/>
    <mergeCell ref="AA22:AC22"/>
    <mergeCell ref="AD22:AF22"/>
    <mergeCell ref="AG3:AG4"/>
    <mergeCell ref="B3:B4"/>
    <mergeCell ref="C3:E3"/>
    <mergeCell ref="F3:H3"/>
    <mergeCell ref="I3:K3"/>
    <mergeCell ref="L3:N3"/>
    <mergeCell ref="O3:Q3"/>
    <mergeCell ref="R3:T3"/>
    <mergeCell ref="U3:W3"/>
    <mergeCell ref="X3:Z3"/>
    <mergeCell ref="AA3:AC3"/>
    <mergeCell ref="AD3:A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1"/>
  <sheetViews>
    <sheetView showGridLines="0" workbookViewId="0">
      <selection activeCell="E4" sqref="E4"/>
    </sheetView>
  </sheetViews>
  <sheetFormatPr defaultColWidth="9.1796875" defaultRowHeight="15.5" x14ac:dyDescent="0.35"/>
  <cols>
    <col min="1" max="1" width="9.1796875" style="5"/>
    <col min="2" max="2" width="24.453125" style="5" customWidth="1"/>
    <col min="3" max="3" width="12.7265625" style="4" customWidth="1"/>
    <col min="4" max="4" width="19.54296875" style="5" customWidth="1"/>
    <col min="5" max="5" width="17.81640625" style="5" customWidth="1"/>
    <col min="6" max="6" width="19.54296875" style="5" customWidth="1"/>
    <col min="7" max="7" width="17.81640625" style="5" customWidth="1"/>
    <col min="8" max="16384" width="9.1796875" style="5"/>
  </cols>
  <sheetData>
    <row r="2" spans="2:5" x14ac:dyDescent="0.35">
      <c r="B2" s="3" t="s">
        <v>8</v>
      </c>
    </row>
    <row r="3" spans="2:5" x14ac:dyDescent="0.35">
      <c r="B3" s="6" t="s">
        <v>9</v>
      </c>
      <c r="C3" s="6" t="s">
        <v>10</v>
      </c>
      <c r="D3" s="6" t="s">
        <v>11</v>
      </c>
      <c r="E3" s="6" t="s">
        <v>12</v>
      </c>
    </row>
    <row r="4" spans="2:5" x14ac:dyDescent="0.35">
      <c r="B4" s="7" t="s">
        <v>13</v>
      </c>
      <c r="C4" s="8" t="s">
        <v>14</v>
      </c>
      <c r="D4" s="9">
        <v>39.659999999999997</v>
      </c>
      <c r="E4" s="9">
        <v>39.659999999999997</v>
      </c>
    </row>
    <row r="5" spans="2:5" x14ac:dyDescent="0.35">
      <c r="B5" s="7" t="s">
        <v>15</v>
      </c>
      <c r="C5" s="8" t="s">
        <v>16</v>
      </c>
      <c r="D5" s="10">
        <v>0.77110000000000001</v>
      </c>
      <c r="E5" s="9"/>
    </row>
    <row r="6" spans="2:5" x14ac:dyDescent="0.35">
      <c r="B6" s="7" t="s">
        <v>17</v>
      </c>
      <c r="C6" s="8" t="s">
        <v>16</v>
      </c>
      <c r="D6" s="10">
        <f>1-D5</f>
        <v>0.22889999999999999</v>
      </c>
      <c r="E6" s="9"/>
    </row>
    <row r="7" spans="2:5" x14ac:dyDescent="0.35">
      <c r="B7" s="7" t="s">
        <v>15</v>
      </c>
      <c r="C7" s="8" t="s">
        <v>14</v>
      </c>
      <c r="D7" s="9">
        <f>D4*D5</f>
        <v>30.581825999999996</v>
      </c>
      <c r="E7" s="9"/>
    </row>
    <row r="8" spans="2:5" x14ac:dyDescent="0.35">
      <c r="B8" s="7" t="s">
        <v>17</v>
      </c>
      <c r="C8" s="8" t="s">
        <v>14</v>
      </c>
      <c r="D8" s="9">
        <f>D4*D6</f>
        <v>9.0781739999999989</v>
      </c>
      <c r="E8" s="9">
        <f>D8</f>
        <v>9.0781739999999989</v>
      </c>
    </row>
    <row r="9" spans="2:5" x14ac:dyDescent="0.35">
      <c r="B9" s="7" t="s">
        <v>18</v>
      </c>
      <c r="C9" s="8" t="s">
        <v>14</v>
      </c>
      <c r="D9" s="9">
        <f>D7</f>
        <v>30.581825999999996</v>
      </c>
      <c r="E9" s="9">
        <f>D11</f>
        <v>29.361825999999997</v>
      </c>
    </row>
    <row r="10" spans="2:5" x14ac:dyDescent="0.35">
      <c r="B10" s="7" t="s">
        <v>19</v>
      </c>
      <c r="C10" s="8" t="s">
        <v>14</v>
      </c>
      <c r="D10" s="9">
        <f>D15</f>
        <v>1.22</v>
      </c>
      <c r="E10" s="9">
        <f>E15</f>
        <v>2.0940479999999999</v>
      </c>
    </row>
    <row r="11" spans="2:5" x14ac:dyDescent="0.35">
      <c r="B11" s="7" t="s">
        <v>20</v>
      </c>
      <c r="C11" s="8" t="s">
        <v>14</v>
      </c>
      <c r="D11" s="9">
        <f>D9-D10</f>
        <v>29.361825999999997</v>
      </c>
      <c r="E11" s="9">
        <f>E9-E10</f>
        <v>27.267777999999996</v>
      </c>
    </row>
    <row r="12" spans="2:5" x14ac:dyDescent="0.35">
      <c r="B12" s="7" t="s">
        <v>21</v>
      </c>
      <c r="C12" s="8" t="s">
        <v>14</v>
      </c>
      <c r="D12" s="10">
        <v>9.2327379499830581E-2</v>
      </c>
      <c r="E12" s="10">
        <v>9.3072113105799215E-2</v>
      </c>
    </row>
    <row r="13" spans="2:5" x14ac:dyDescent="0.35">
      <c r="B13" s="11" t="s">
        <v>22</v>
      </c>
      <c r="C13" s="8"/>
      <c r="D13" s="10"/>
      <c r="E13" s="9"/>
    </row>
    <row r="14" spans="2:5" x14ac:dyDescent="0.35">
      <c r="B14" s="7" t="s">
        <v>23</v>
      </c>
      <c r="C14" s="8" t="s">
        <v>14</v>
      </c>
      <c r="D14" s="9">
        <f>AVERAGE(D9,D11)*D12</f>
        <v>2.7672201534048888</v>
      </c>
      <c r="E14" s="9">
        <f>AVERAGE(E9,E11)*E12</f>
        <v>2.6353184543123094</v>
      </c>
    </row>
    <row r="15" spans="2:5" x14ac:dyDescent="0.35">
      <c r="B15" s="7" t="s">
        <v>24</v>
      </c>
      <c r="C15" s="8" t="s">
        <v>14</v>
      </c>
      <c r="D15" s="9">
        <f>D4*1.22/39.66</f>
        <v>1.22</v>
      </c>
      <c r="E15" s="9">
        <f>E4*5.28%</f>
        <v>2.0940479999999999</v>
      </c>
    </row>
    <row r="16" spans="2:5" x14ac:dyDescent="0.35">
      <c r="B16" s="7" t="s">
        <v>25</v>
      </c>
      <c r="C16" s="8" t="s">
        <v>14</v>
      </c>
      <c r="D16" s="9">
        <f>D8*7.5%</f>
        <v>0.68086304999999991</v>
      </c>
      <c r="E16" s="9">
        <f>E8*15.5%</f>
        <v>1.4071169699999999</v>
      </c>
    </row>
    <row r="17" spans="2:5" x14ac:dyDescent="0.35">
      <c r="B17" s="7" t="s">
        <v>26</v>
      </c>
      <c r="C17" s="8" t="s">
        <v>14</v>
      </c>
      <c r="D17" s="9">
        <f ca="1">D18*45/365*10.18%</f>
        <v>5.9332302555630524E-2</v>
      </c>
      <c r="E17" s="9">
        <f ca="1">E18*45/365*9.89%</f>
        <v>7.574665747671798E-2</v>
      </c>
    </row>
    <row r="18" spans="2:5" x14ac:dyDescent="0.35">
      <c r="B18" s="11" t="s">
        <v>27</v>
      </c>
      <c r="C18" s="12" t="s">
        <v>14</v>
      </c>
      <c r="D18" s="13">
        <f ca="1">SUM(D14:D17)</f>
        <v>4.7274155059605194</v>
      </c>
      <c r="E18" s="13">
        <f ca="1">SUM(E14:E17)</f>
        <v>6.212230081789027</v>
      </c>
    </row>
    <row r="19" spans="2:5" x14ac:dyDescent="0.35">
      <c r="B19" s="7" t="s">
        <v>28</v>
      </c>
      <c r="C19" s="8" t="s">
        <v>16</v>
      </c>
      <c r="D19" s="14">
        <v>0.77959999999999996</v>
      </c>
      <c r="E19" s="10">
        <v>0.72540000000000004</v>
      </c>
    </row>
    <row r="20" spans="2:5" x14ac:dyDescent="0.35">
      <c r="B20" s="7" t="s">
        <v>29</v>
      </c>
      <c r="C20" s="8" t="s">
        <v>16</v>
      </c>
      <c r="D20" s="14">
        <v>0.85</v>
      </c>
      <c r="E20" s="14">
        <v>0.85</v>
      </c>
    </row>
    <row r="21" spans="2:5" x14ac:dyDescent="0.35">
      <c r="B21" s="11" t="s">
        <v>30</v>
      </c>
      <c r="C21" s="12" t="s">
        <v>14</v>
      </c>
      <c r="D21" s="13">
        <f ca="1">D18*(D19/D20)</f>
        <v>4.3358742687609659</v>
      </c>
      <c r="E21" s="13">
        <f ca="1">E18*(E19/E20)</f>
        <v>5.3015902368585417</v>
      </c>
    </row>
    <row r="22" spans="2:5" x14ac:dyDescent="0.35">
      <c r="B22" s="7" t="s">
        <v>21</v>
      </c>
      <c r="C22" s="8"/>
      <c r="D22" s="7"/>
      <c r="E22" s="7"/>
    </row>
    <row r="23" spans="2:5" x14ac:dyDescent="0.35">
      <c r="B23" s="7" t="s">
        <v>11</v>
      </c>
      <c r="C23" s="8" t="s">
        <v>16</v>
      </c>
      <c r="D23" s="10">
        <f t="array" ref="D23:D29">TRANSPOSE('BTPS_4-5 LD Impact'!G38:M38)</f>
        <v>0.1018</v>
      </c>
      <c r="E23" s="7"/>
    </row>
    <row r="24" spans="2:5" x14ac:dyDescent="0.35">
      <c r="B24" s="7" t="s">
        <v>12</v>
      </c>
      <c r="C24" s="8" t="s">
        <v>16</v>
      </c>
      <c r="D24" s="10">
        <v>9.8900000000000002E-2</v>
      </c>
      <c r="E24" s="14">
        <f>D24</f>
        <v>9.8900000000000002E-2</v>
      </c>
    </row>
    <row r="25" spans="2:5" x14ac:dyDescent="0.35">
      <c r="B25" s="7" t="s">
        <v>31</v>
      </c>
      <c r="C25" s="8" t="s">
        <v>16</v>
      </c>
      <c r="D25" s="10">
        <v>9.6572404371584694E-2</v>
      </c>
      <c r="E25" s="14">
        <f t="shared" ref="E25:E29" si="0">D25</f>
        <v>9.6572404371584694E-2</v>
      </c>
    </row>
    <row r="26" spans="2:5" x14ac:dyDescent="0.35">
      <c r="B26" s="7" t="s">
        <v>32</v>
      </c>
      <c r="C26" s="8" t="s">
        <v>16</v>
      </c>
      <c r="D26" s="10">
        <v>8.5699999999999998E-2</v>
      </c>
      <c r="E26" s="14">
        <f t="shared" si="0"/>
        <v>8.5699999999999998E-2</v>
      </c>
    </row>
    <row r="27" spans="2:5" x14ac:dyDescent="0.35">
      <c r="B27" s="7" t="s">
        <v>33</v>
      </c>
      <c r="C27" s="8" t="s">
        <v>16</v>
      </c>
      <c r="D27" s="10">
        <v>8.5000000000000006E-2</v>
      </c>
      <c r="E27" s="14">
        <f t="shared" si="0"/>
        <v>8.5000000000000006E-2</v>
      </c>
    </row>
    <row r="28" spans="2:5" x14ac:dyDescent="0.35">
      <c r="B28" s="7" t="s">
        <v>34</v>
      </c>
      <c r="C28" s="8" t="s">
        <v>16</v>
      </c>
      <c r="D28" s="10">
        <v>9.4500000000000001E-2</v>
      </c>
      <c r="E28" s="14">
        <f t="shared" si="0"/>
        <v>9.4500000000000001E-2</v>
      </c>
    </row>
    <row r="29" spans="2:5" x14ac:dyDescent="0.35">
      <c r="B29" s="7" t="s">
        <v>35</v>
      </c>
      <c r="C29" s="8" t="s">
        <v>16</v>
      </c>
      <c r="D29" s="10">
        <v>9.4500000000000001E-2</v>
      </c>
      <c r="E29" s="14">
        <f t="shared" si="0"/>
        <v>9.4500000000000001E-2</v>
      </c>
    </row>
    <row r="30" spans="2:5" x14ac:dyDescent="0.35">
      <c r="B30" s="7" t="s">
        <v>36</v>
      </c>
      <c r="C30" s="8"/>
      <c r="D30" s="7"/>
      <c r="E30" s="7"/>
    </row>
    <row r="31" spans="2:5" x14ac:dyDescent="0.35">
      <c r="B31" s="7" t="s">
        <v>11</v>
      </c>
      <c r="C31" s="8" t="s">
        <v>14</v>
      </c>
      <c r="D31" s="9">
        <f ca="1">D$21*D23/2</f>
        <v>0.22069600027993316</v>
      </c>
      <c r="E31" s="9"/>
    </row>
    <row r="32" spans="2:5" x14ac:dyDescent="0.35">
      <c r="B32" s="7" t="s">
        <v>12</v>
      </c>
      <c r="C32" s="8" t="s">
        <v>14</v>
      </c>
      <c r="D32" s="9">
        <f ca="1">D$21*D24</f>
        <v>0.42881796518045956</v>
      </c>
      <c r="E32" s="9">
        <f ca="1">E$21*E24/2</f>
        <v>0.2621636372126549</v>
      </c>
    </row>
    <row r="33" spans="2:5" x14ac:dyDescent="0.35">
      <c r="B33" s="7" t="s">
        <v>31</v>
      </c>
      <c r="C33" s="8" t="s">
        <v>14</v>
      </c>
      <c r="D33" s="9">
        <f ca="1">D$21*D25</f>
        <v>0.41872580318713309</v>
      </c>
      <c r="E33" s="9">
        <f t="shared" ref="E33:E37" ca="1" si="1">E$21*E25/2</f>
        <v>0.25599365808317426</v>
      </c>
    </row>
    <row r="34" spans="2:5" x14ac:dyDescent="0.35">
      <c r="B34" s="7" t="s">
        <v>32</v>
      </c>
      <c r="C34" s="8" t="s">
        <v>14</v>
      </c>
      <c r="D34" s="9">
        <f ca="1">D$21*D26</f>
        <v>0.37158442483281479</v>
      </c>
      <c r="E34" s="9">
        <f t="shared" ca="1" si="1"/>
        <v>0.22717314164938851</v>
      </c>
    </row>
    <row r="35" spans="2:5" x14ac:dyDescent="0.35">
      <c r="B35" s="7" t="s">
        <v>33</v>
      </c>
      <c r="C35" s="8" t="s">
        <v>14</v>
      </c>
      <c r="D35" s="9">
        <f ca="1">D$21*D27</f>
        <v>0.36854931284468212</v>
      </c>
      <c r="E35" s="9">
        <f t="shared" ca="1" si="1"/>
        <v>0.22531758506648805</v>
      </c>
    </row>
    <row r="36" spans="2:5" x14ac:dyDescent="0.35">
      <c r="B36" s="7" t="s">
        <v>34</v>
      </c>
      <c r="C36" s="8" t="s">
        <v>14</v>
      </c>
      <c r="D36" s="9">
        <f ca="1">D$21*D28</f>
        <v>0.4097401183979113</v>
      </c>
      <c r="E36" s="9">
        <f t="shared" ca="1" si="1"/>
        <v>0.25050013869156612</v>
      </c>
    </row>
    <row r="37" spans="2:5" x14ac:dyDescent="0.35">
      <c r="B37" s="7" t="s">
        <v>35</v>
      </c>
      <c r="C37" s="8" t="s">
        <v>14</v>
      </c>
      <c r="D37" s="9">
        <f ca="1">D$21*D29/2</f>
        <v>0.20487005919895565</v>
      </c>
      <c r="E37" s="9">
        <f t="shared" ca="1" si="1"/>
        <v>0.25050013869156612</v>
      </c>
    </row>
    <row r="38" spans="2:5" x14ac:dyDescent="0.35">
      <c r="B38" s="11" t="s">
        <v>37</v>
      </c>
      <c r="C38" s="12" t="s">
        <v>14</v>
      </c>
      <c r="D38" s="13">
        <f ca="1">SUM(D31:D37)</f>
        <v>2.4229836839218897</v>
      </c>
      <c r="E38" s="13">
        <f ca="1">SUM(E31:E37)</f>
        <v>1.4716482993948379</v>
      </c>
    </row>
    <row r="39" spans="2:5" x14ac:dyDescent="0.35">
      <c r="B39" s="11" t="s">
        <v>38</v>
      </c>
      <c r="C39" s="8"/>
      <c r="D39" s="13">
        <f ca="1">D21+D38</f>
        <v>6.7588579526828561</v>
      </c>
      <c r="E39" s="13">
        <f ca="1">E21+E38</f>
        <v>6.7732385362533796</v>
      </c>
    </row>
    <row r="41" spans="2:5" x14ac:dyDescent="0.35">
      <c r="B41" s="3" t="s">
        <v>39</v>
      </c>
    </row>
    <row r="42" spans="2:5" x14ac:dyDescent="0.35">
      <c r="B42" s="6" t="s">
        <v>9</v>
      </c>
      <c r="C42" s="6" t="s">
        <v>10</v>
      </c>
      <c r="D42" s="6" t="s">
        <v>11</v>
      </c>
      <c r="E42" s="6" t="s">
        <v>12</v>
      </c>
    </row>
    <row r="43" spans="2:5" x14ac:dyDescent="0.35">
      <c r="B43" s="7" t="s">
        <v>40</v>
      </c>
      <c r="C43" s="8" t="s">
        <v>14</v>
      </c>
      <c r="D43" s="9">
        <v>2.13</v>
      </c>
      <c r="E43" s="9">
        <v>2.19</v>
      </c>
    </row>
    <row r="44" spans="2:5" x14ac:dyDescent="0.35">
      <c r="B44" s="7" t="s">
        <v>41</v>
      </c>
      <c r="C44" s="8" t="s">
        <v>14</v>
      </c>
      <c r="D44" s="9">
        <f ca="1">(D43*1%+D45*45/365)*10.18%</f>
        <v>2.9268640387992859E-2</v>
      </c>
      <c r="E44" s="9">
        <f ca="1">(E43*1%+E45*45/365)*9.89%</f>
        <v>2.9225257974286468E-2</v>
      </c>
    </row>
    <row r="45" spans="2:5" x14ac:dyDescent="0.35">
      <c r="B45" s="11" t="s">
        <v>38</v>
      </c>
      <c r="C45" s="12" t="s">
        <v>14</v>
      </c>
      <c r="D45" s="13">
        <f ca="1">SUM(D43:D44)</f>
        <v>2.1592686403879928</v>
      </c>
      <c r="E45" s="13">
        <f ca="1">SUM(E43:E44)</f>
        <v>2.2192252579742866</v>
      </c>
    </row>
    <row r="46" spans="2:5" x14ac:dyDescent="0.35">
      <c r="B46" s="7" t="s">
        <v>21</v>
      </c>
      <c r="C46" s="8"/>
      <c r="D46" s="7"/>
      <c r="E46" s="7"/>
    </row>
    <row r="47" spans="2:5" x14ac:dyDescent="0.35">
      <c r="B47" s="7" t="s">
        <v>11</v>
      </c>
      <c r="C47" s="8" t="s">
        <v>16</v>
      </c>
      <c r="D47" s="10">
        <f t="shared" ref="D47:E53" si="2">D23</f>
        <v>0.1018</v>
      </c>
      <c r="E47" s="7"/>
    </row>
    <row r="48" spans="2:5" x14ac:dyDescent="0.35">
      <c r="B48" s="7" t="s">
        <v>12</v>
      </c>
      <c r="C48" s="8" t="s">
        <v>16</v>
      </c>
      <c r="D48" s="10">
        <f t="shared" si="2"/>
        <v>9.8900000000000002E-2</v>
      </c>
      <c r="E48" s="10">
        <f t="shared" si="2"/>
        <v>9.8900000000000002E-2</v>
      </c>
    </row>
    <row r="49" spans="2:5" x14ac:dyDescent="0.35">
      <c r="B49" s="7" t="s">
        <v>31</v>
      </c>
      <c r="C49" s="8" t="s">
        <v>16</v>
      </c>
      <c r="D49" s="10">
        <f t="shared" si="2"/>
        <v>9.6572404371584694E-2</v>
      </c>
      <c r="E49" s="10">
        <f t="shared" si="2"/>
        <v>9.6572404371584694E-2</v>
      </c>
    </row>
    <row r="50" spans="2:5" x14ac:dyDescent="0.35">
      <c r="B50" s="7" t="s">
        <v>32</v>
      </c>
      <c r="C50" s="8" t="s">
        <v>16</v>
      </c>
      <c r="D50" s="10">
        <f t="shared" si="2"/>
        <v>8.5699999999999998E-2</v>
      </c>
      <c r="E50" s="10">
        <f t="shared" si="2"/>
        <v>8.5699999999999998E-2</v>
      </c>
    </row>
    <row r="51" spans="2:5" x14ac:dyDescent="0.35">
      <c r="B51" s="7" t="s">
        <v>33</v>
      </c>
      <c r="C51" s="8" t="s">
        <v>16</v>
      </c>
      <c r="D51" s="10">
        <f t="shared" si="2"/>
        <v>8.5000000000000006E-2</v>
      </c>
      <c r="E51" s="10">
        <f t="shared" si="2"/>
        <v>8.5000000000000006E-2</v>
      </c>
    </row>
    <row r="52" spans="2:5" x14ac:dyDescent="0.35">
      <c r="B52" s="7" t="s">
        <v>34</v>
      </c>
      <c r="C52" s="8" t="s">
        <v>16</v>
      </c>
      <c r="D52" s="10">
        <f t="shared" si="2"/>
        <v>9.4500000000000001E-2</v>
      </c>
      <c r="E52" s="10">
        <f t="shared" si="2"/>
        <v>9.4500000000000001E-2</v>
      </c>
    </row>
    <row r="53" spans="2:5" x14ac:dyDescent="0.35">
      <c r="B53" s="7" t="s">
        <v>35</v>
      </c>
      <c r="C53" s="8" t="s">
        <v>16</v>
      </c>
      <c r="D53" s="10">
        <f t="shared" si="2"/>
        <v>9.4500000000000001E-2</v>
      </c>
      <c r="E53" s="10">
        <f t="shared" si="2"/>
        <v>9.4500000000000001E-2</v>
      </c>
    </row>
    <row r="54" spans="2:5" x14ac:dyDescent="0.35">
      <c r="B54" s="7" t="s">
        <v>36</v>
      </c>
      <c r="C54" s="8"/>
      <c r="D54" s="7"/>
      <c r="E54" s="7"/>
    </row>
    <row r="55" spans="2:5" x14ac:dyDescent="0.35">
      <c r="B55" s="7" t="s">
        <v>11</v>
      </c>
      <c r="C55" s="8" t="s">
        <v>14</v>
      </c>
      <c r="D55" s="9">
        <f ca="1">D$45*D47/2</f>
        <v>0.10990677379574884</v>
      </c>
      <c r="E55" s="9"/>
    </row>
    <row r="56" spans="2:5" x14ac:dyDescent="0.35">
      <c r="B56" s="7" t="s">
        <v>12</v>
      </c>
      <c r="C56" s="8" t="s">
        <v>14</v>
      </c>
      <c r="D56" s="9">
        <f ca="1">D$45*D48</f>
        <v>0.21355166853437249</v>
      </c>
      <c r="E56" s="9">
        <f ca="1">E$45*E48/2</f>
        <v>0.10974068900682847</v>
      </c>
    </row>
    <row r="57" spans="2:5" x14ac:dyDescent="0.35">
      <c r="B57" s="7" t="s">
        <v>31</v>
      </c>
      <c r="C57" s="8" t="s">
        <v>14</v>
      </c>
      <c r="D57" s="9">
        <f t="shared" ref="D57:E60" ca="1" si="3">D$45*D49</f>
        <v>0.20852576428643113</v>
      </c>
      <c r="E57" s="9">
        <f t="shared" ca="1" si="3"/>
        <v>0.21431591900472716</v>
      </c>
    </row>
    <row r="58" spans="2:5" x14ac:dyDescent="0.35">
      <c r="B58" s="7" t="s">
        <v>32</v>
      </c>
      <c r="C58" s="8" t="s">
        <v>14</v>
      </c>
      <c r="D58" s="9">
        <f t="shared" ca="1" si="3"/>
        <v>0.18504932248125097</v>
      </c>
      <c r="E58" s="9">
        <f t="shared" ca="1" si="3"/>
        <v>0.19018760460839637</v>
      </c>
    </row>
    <row r="59" spans="2:5" x14ac:dyDescent="0.35">
      <c r="B59" s="7" t="s">
        <v>33</v>
      </c>
      <c r="C59" s="8" t="s">
        <v>14</v>
      </c>
      <c r="D59" s="9">
        <f t="shared" ca="1" si="3"/>
        <v>0.18353783443297941</v>
      </c>
      <c r="E59" s="9">
        <f t="shared" ca="1" si="3"/>
        <v>0.18863414692781438</v>
      </c>
    </row>
    <row r="60" spans="2:5" x14ac:dyDescent="0.35">
      <c r="B60" s="7" t="s">
        <v>34</v>
      </c>
      <c r="C60" s="8" t="s">
        <v>14</v>
      </c>
      <c r="D60" s="9">
        <f t="shared" ca="1" si="3"/>
        <v>0.20405088651666534</v>
      </c>
      <c r="E60" s="9">
        <f t="shared" ca="1" si="3"/>
        <v>0.20971678687857009</v>
      </c>
    </row>
    <row r="61" spans="2:5" x14ac:dyDescent="0.35">
      <c r="B61" s="7" t="s">
        <v>35</v>
      </c>
      <c r="C61" s="8" t="s">
        <v>14</v>
      </c>
      <c r="D61" s="9">
        <f ca="1">D$45*D53/2</f>
        <v>0.10202544325833267</v>
      </c>
      <c r="E61" s="9">
        <f ca="1">E$45*E53/2</f>
        <v>0.10485839343928505</v>
      </c>
    </row>
    <row r="62" spans="2:5" x14ac:dyDescent="0.35">
      <c r="B62" s="11" t="s">
        <v>37</v>
      </c>
      <c r="C62" s="12" t="s">
        <v>14</v>
      </c>
      <c r="D62" s="13">
        <f ca="1">SUM(D55:D61)</f>
        <v>1.2066476933057808</v>
      </c>
      <c r="E62" s="13">
        <f ca="1">SUM(E55:E61)</f>
        <v>1.0174535398656215</v>
      </c>
    </row>
    <row r="63" spans="2:5" x14ac:dyDescent="0.35">
      <c r="B63" s="11" t="s">
        <v>38</v>
      </c>
      <c r="C63" s="8"/>
      <c r="D63" s="13">
        <f ca="1">D45+D62</f>
        <v>3.3659163336937734</v>
      </c>
      <c r="E63" s="13">
        <f ca="1">E45+E62</f>
        <v>3.2366787978399083</v>
      </c>
    </row>
    <row r="65" spans="2:7" x14ac:dyDescent="0.35">
      <c r="B65" s="3" t="s">
        <v>42</v>
      </c>
    </row>
    <row r="66" spans="2:7" x14ac:dyDescent="0.35">
      <c r="B66" s="150" t="s">
        <v>9</v>
      </c>
      <c r="C66" s="150" t="s">
        <v>10</v>
      </c>
      <c r="D66" s="152" t="s">
        <v>43</v>
      </c>
      <c r="E66" s="153"/>
      <c r="F66" s="152" t="s">
        <v>44</v>
      </c>
      <c r="G66" s="153"/>
    </row>
    <row r="67" spans="2:7" x14ac:dyDescent="0.35">
      <c r="B67" s="151"/>
      <c r="C67" s="151"/>
      <c r="D67" s="6" t="s">
        <v>11</v>
      </c>
      <c r="E67" s="6" t="s">
        <v>12</v>
      </c>
      <c r="F67" s="6" t="s">
        <v>11</v>
      </c>
      <c r="G67" s="6" t="s">
        <v>12</v>
      </c>
    </row>
    <row r="68" spans="2:7" x14ac:dyDescent="0.35">
      <c r="B68" s="7" t="s">
        <v>40</v>
      </c>
      <c r="C68" s="8" t="s">
        <v>14</v>
      </c>
      <c r="D68" s="9">
        <f>5.16</f>
        <v>5.16</v>
      </c>
      <c r="E68" s="9">
        <f>5.29</f>
        <v>5.29</v>
      </c>
      <c r="F68" s="9">
        <f>0.14</f>
        <v>0.14000000000000001</v>
      </c>
      <c r="G68" s="9">
        <f>0.15</f>
        <v>0.15</v>
      </c>
    </row>
    <row r="69" spans="2:7" x14ac:dyDescent="0.35">
      <c r="B69" s="7" t="s">
        <v>41</v>
      </c>
      <c r="C69" s="8" t="s">
        <v>14</v>
      </c>
      <c r="D69" s="9">
        <f ca="1">(D68*1%+D70*45/365)*10.18%</f>
        <v>7.0904311925841873E-2</v>
      </c>
      <c r="E69" s="9">
        <f ca="1">E70*45/365*9.89%</f>
        <v>6.5297954927132071E-2</v>
      </c>
      <c r="F69" s="9">
        <f ca="1">(F68*1%+F70*45/365)*10.18%</f>
        <v>1.9237604010887332E-3</v>
      </c>
      <c r="G69" s="9">
        <f ca="1">G70*45/365*9.89%</f>
        <v>1.8515488164593211E-3</v>
      </c>
    </row>
    <row r="70" spans="2:7" x14ac:dyDescent="0.35">
      <c r="B70" s="11" t="s">
        <v>38</v>
      </c>
      <c r="C70" s="12" t="s">
        <v>14</v>
      </c>
      <c r="D70" s="13">
        <f ca="1">SUM(D68:D69)</f>
        <v>5.2309043119258423</v>
      </c>
      <c r="E70" s="13">
        <f t="shared" ref="E70:G70" ca="1" si="4">SUM(E68:E69)</f>
        <v>5.3552979549271322</v>
      </c>
      <c r="F70" s="13">
        <f t="shared" ca="1" si="4"/>
        <v>0.14192376040108876</v>
      </c>
      <c r="G70" s="13">
        <f t="shared" ca="1" si="4"/>
        <v>0.15185154881645932</v>
      </c>
    </row>
    <row r="71" spans="2:7" x14ac:dyDescent="0.35">
      <c r="B71" s="7" t="s">
        <v>28</v>
      </c>
      <c r="C71" s="8" t="s">
        <v>16</v>
      </c>
      <c r="D71" s="14">
        <v>0.56169999999999998</v>
      </c>
      <c r="E71" s="10">
        <v>0.52480000000000004</v>
      </c>
      <c r="F71" s="14">
        <v>0.13159999999999999</v>
      </c>
      <c r="G71" s="10">
        <v>0.1462</v>
      </c>
    </row>
    <row r="72" spans="2:7" x14ac:dyDescent="0.35">
      <c r="B72" s="7" t="s">
        <v>29</v>
      </c>
      <c r="C72" s="8" t="s">
        <v>16</v>
      </c>
      <c r="D72" s="14">
        <v>0.8</v>
      </c>
      <c r="E72" s="14">
        <v>0.8</v>
      </c>
      <c r="F72" s="14">
        <v>0.72</v>
      </c>
      <c r="G72" s="14">
        <v>0.72</v>
      </c>
    </row>
    <row r="73" spans="2:7" ht="30" x14ac:dyDescent="0.35">
      <c r="B73" s="15" t="s">
        <v>45</v>
      </c>
      <c r="C73" s="12" t="s">
        <v>14</v>
      </c>
      <c r="D73" s="13">
        <f ca="1">D70*(D71/D72)</f>
        <v>3.6727486900109314</v>
      </c>
      <c r="E73" s="13">
        <f ca="1">E70*(E71/E72)</f>
        <v>3.513075458432199</v>
      </c>
      <c r="F73" s="13">
        <f ca="1">F70*(F71/F72)</f>
        <v>2.5940509539976779E-2</v>
      </c>
      <c r="G73" s="13">
        <f ca="1">G70*(G71/G72)</f>
        <v>3.0834300606897711E-2</v>
      </c>
    </row>
    <row r="74" spans="2:7" x14ac:dyDescent="0.35">
      <c r="B74" s="7" t="s">
        <v>21</v>
      </c>
      <c r="C74" s="8"/>
      <c r="D74" s="7"/>
      <c r="E74" s="7"/>
      <c r="F74" s="7"/>
      <c r="G74" s="7"/>
    </row>
    <row r="75" spans="2:7" x14ac:dyDescent="0.35">
      <c r="B75" s="7" t="s">
        <v>11</v>
      </c>
      <c r="C75" s="8" t="s">
        <v>16</v>
      </c>
      <c r="D75" s="10">
        <f t="shared" ref="D75:E81" si="5">D47</f>
        <v>0.1018</v>
      </c>
      <c r="E75" s="7"/>
      <c r="F75" s="10">
        <f>D75</f>
        <v>0.1018</v>
      </c>
      <c r="G75" s="7"/>
    </row>
    <row r="76" spans="2:7" x14ac:dyDescent="0.35">
      <c r="B76" s="7" t="s">
        <v>12</v>
      </c>
      <c r="C76" s="8" t="s">
        <v>16</v>
      </c>
      <c r="D76" s="10">
        <f t="shared" si="5"/>
        <v>9.8900000000000002E-2</v>
      </c>
      <c r="E76" s="10">
        <f t="shared" si="5"/>
        <v>9.8900000000000002E-2</v>
      </c>
      <c r="F76" s="10">
        <f t="shared" ref="F76:G81" si="6">D76</f>
        <v>9.8900000000000002E-2</v>
      </c>
      <c r="G76" s="10">
        <f t="shared" si="6"/>
        <v>9.8900000000000002E-2</v>
      </c>
    </row>
    <row r="77" spans="2:7" x14ac:dyDescent="0.35">
      <c r="B77" s="7" t="s">
        <v>31</v>
      </c>
      <c r="C77" s="8" t="s">
        <v>16</v>
      </c>
      <c r="D77" s="10">
        <f t="shared" si="5"/>
        <v>9.6572404371584694E-2</v>
      </c>
      <c r="E77" s="10">
        <f t="shared" si="5"/>
        <v>9.6572404371584694E-2</v>
      </c>
      <c r="F77" s="10">
        <f t="shared" si="6"/>
        <v>9.6572404371584694E-2</v>
      </c>
      <c r="G77" s="10">
        <f t="shared" si="6"/>
        <v>9.6572404371584694E-2</v>
      </c>
    </row>
    <row r="78" spans="2:7" x14ac:dyDescent="0.35">
      <c r="B78" s="7" t="s">
        <v>32</v>
      </c>
      <c r="C78" s="8" t="s">
        <v>16</v>
      </c>
      <c r="D78" s="10">
        <f t="shared" si="5"/>
        <v>8.5699999999999998E-2</v>
      </c>
      <c r="E78" s="10">
        <f t="shared" si="5"/>
        <v>8.5699999999999998E-2</v>
      </c>
      <c r="F78" s="10">
        <f t="shared" si="6"/>
        <v>8.5699999999999998E-2</v>
      </c>
      <c r="G78" s="10">
        <f t="shared" si="6"/>
        <v>8.5699999999999998E-2</v>
      </c>
    </row>
    <row r="79" spans="2:7" x14ac:dyDescent="0.35">
      <c r="B79" s="7" t="s">
        <v>33</v>
      </c>
      <c r="C79" s="8" t="s">
        <v>16</v>
      </c>
      <c r="D79" s="10">
        <f t="shared" si="5"/>
        <v>8.5000000000000006E-2</v>
      </c>
      <c r="E79" s="10">
        <f t="shared" si="5"/>
        <v>8.5000000000000006E-2</v>
      </c>
      <c r="F79" s="10">
        <f t="shared" si="6"/>
        <v>8.5000000000000006E-2</v>
      </c>
      <c r="G79" s="10">
        <f t="shared" si="6"/>
        <v>8.5000000000000006E-2</v>
      </c>
    </row>
    <row r="80" spans="2:7" x14ac:dyDescent="0.35">
      <c r="B80" s="7" t="s">
        <v>34</v>
      </c>
      <c r="C80" s="8" t="s">
        <v>16</v>
      </c>
      <c r="D80" s="10">
        <f t="shared" si="5"/>
        <v>9.4500000000000001E-2</v>
      </c>
      <c r="E80" s="10">
        <f t="shared" si="5"/>
        <v>9.4500000000000001E-2</v>
      </c>
      <c r="F80" s="10">
        <f t="shared" si="6"/>
        <v>9.4500000000000001E-2</v>
      </c>
      <c r="G80" s="10">
        <f t="shared" si="6"/>
        <v>9.4500000000000001E-2</v>
      </c>
    </row>
    <row r="81" spans="2:7" x14ac:dyDescent="0.35">
      <c r="B81" s="7" t="s">
        <v>35</v>
      </c>
      <c r="C81" s="8" t="s">
        <v>16</v>
      </c>
      <c r="D81" s="10">
        <f t="shared" si="5"/>
        <v>9.4500000000000001E-2</v>
      </c>
      <c r="E81" s="10">
        <f t="shared" si="5"/>
        <v>9.4500000000000001E-2</v>
      </c>
      <c r="F81" s="10">
        <f t="shared" si="6"/>
        <v>9.4500000000000001E-2</v>
      </c>
      <c r="G81" s="10">
        <f t="shared" si="6"/>
        <v>9.4500000000000001E-2</v>
      </c>
    </row>
    <row r="82" spans="2:7" x14ac:dyDescent="0.35">
      <c r="B82" s="7" t="s">
        <v>36</v>
      </c>
      <c r="C82" s="8"/>
      <c r="D82" s="7"/>
      <c r="E82" s="7"/>
      <c r="F82" s="7"/>
      <c r="G82" s="7"/>
    </row>
    <row r="83" spans="2:7" x14ac:dyDescent="0.35">
      <c r="B83" s="7" t="s">
        <v>11</v>
      </c>
      <c r="C83" s="8" t="s">
        <v>14</v>
      </c>
      <c r="D83" s="9">
        <f ca="1">D$73*D75/2</f>
        <v>0.18694290832155641</v>
      </c>
      <c r="E83" s="9"/>
      <c r="F83" s="9">
        <f ca="1">F$73*F75/2</f>
        <v>1.320371935584818E-3</v>
      </c>
      <c r="G83" s="9"/>
    </row>
    <row r="84" spans="2:7" x14ac:dyDescent="0.35">
      <c r="B84" s="7" t="s">
        <v>12</v>
      </c>
      <c r="C84" s="8" t="s">
        <v>14</v>
      </c>
      <c r="D84" s="9">
        <f ca="1">D$73*D76</f>
        <v>0.36323484544208112</v>
      </c>
      <c r="E84" s="9">
        <f ca="1">E$73*E76/2</f>
        <v>0.17372158141947225</v>
      </c>
      <c r="F84" s="9">
        <f ca="1">F$73*F76</f>
        <v>2.5655163935037035E-3</v>
      </c>
      <c r="G84" s="9">
        <f ca="1">G$73*G76/2</f>
        <v>1.5247561650110918E-3</v>
      </c>
    </row>
    <row r="85" spans="2:7" x14ac:dyDescent="0.35">
      <c r="B85" s="7" t="s">
        <v>31</v>
      </c>
      <c r="C85" s="8" t="s">
        <v>14</v>
      </c>
      <c r="D85" s="9">
        <f t="shared" ref="D85:G88" ca="1" si="7">D$73*D77</f>
        <v>0.3546861716469436</v>
      </c>
      <c r="E85" s="9">
        <f t="shared" ca="1" si="7"/>
        <v>0.33926614375960462</v>
      </c>
      <c r="F85" s="9">
        <f t="shared" ca="1" si="7"/>
        <v>2.5051373768995881E-3</v>
      </c>
      <c r="G85" s="9">
        <f t="shared" ca="1" si="7"/>
        <v>2.9777425467243249E-3</v>
      </c>
    </row>
    <row r="86" spans="2:7" x14ac:dyDescent="0.35">
      <c r="B86" s="7" t="s">
        <v>32</v>
      </c>
      <c r="C86" s="8" t="s">
        <v>14</v>
      </c>
      <c r="D86" s="9">
        <f t="shared" ca="1" si="7"/>
        <v>0.31475456273393682</v>
      </c>
      <c r="E86" s="9">
        <f t="shared" ca="1" si="7"/>
        <v>0.30107056678763944</v>
      </c>
      <c r="F86" s="9">
        <f t="shared" ca="1" si="7"/>
        <v>2.22310166757601E-3</v>
      </c>
      <c r="G86" s="9">
        <f t="shared" ca="1" si="7"/>
        <v>2.6424995620111338E-3</v>
      </c>
    </row>
    <row r="87" spans="2:7" x14ac:dyDescent="0.35">
      <c r="B87" s="7" t="s">
        <v>33</v>
      </c>
      <c r="C87" s="8" t="s">
        <v>14</v>
      </c>
      <c r="D87" s="9">
        <f t="shared" ca="1" si="7"/>
        <v>0.31218363865092918</v>
      </c>
      <c r="E87" s="9">
        <f t="shared" ca="1" si="7"/>
        <v>0.29861141396673696</v>
      </c>
      <c r="F87" s="9">
        <f t="shared" ca="1" si="7"/>
        <v>2.2049433108980265E-3</v>
      </c>
      <c r="G87" s="9">
        <f t="shared" ca="1" si="7"/>
        <v>2.6209155515863058E-3</v>
      </c>
    </row>
    <row r="88" spans="2:7" x14ac:dyDescent="0.35">
      <c r="B88" s="7" t="s">
        <v>34</v>
      </c>
      <c r="C88" s="8" t="s">
        <v>14</v>
      </c>
      <c r="D88" s="9">
        <f t="shared" ca="1" si="7"/>
        <v>0.34707475120603304</v>
      </c>
      <c r="E88" s="9">
        <f t="shared" ca="1" si="7"/>
        <v>0.33198563082184279</v>
      </c>
      <c r="F88" s="9">
        <f t="shared" ca="1" si="7"/>
        <v>2.4513781515278056E-3</v>
      </c>
      <c r="G88" s="9">
        <f t="shared" ca="1" si="7"/>
        <v>2.9138414073518336E-3</v>
      </c>
    </row>
    <row r="89" spans="2:7" x14ac:dyDescent="0.35">
      <c r="B89" s="7" t="s">
        <v>35</v>
      </c>
      <c r="C89" s="8" t="s">
        <v>14</v>
      </c>
      <c r="D89" s="9">
        <f ca="1">D$73*D81/2</f>
        <v>0.17353737560301652</v>
      </c>
      <c r="E89" s="9">
        <f ca="1">E$73*E81/2</f>
        <v>0.1659928154109214</v>
      </c>
      <c r="F89" s="9">
        <f ca="1">F$73*F81/2</f>
        <v>1.2256890757639028E-3</v>
      </c>
      <c r="G89" s="9">
        <f ca="1">G$73*G81/2</f>
        <v>1.4569207036759168E-3</v>
      </c>
    </row>
    <row r="90" spans="2:7" x14ac:dyDescent="0.35">
      <c r="B90" s="11" t="s">
        <v>37</v>
      </c>
      <c r="C90" s="12" t="s">
        <v>14</v>
      </c>
      <c r="D90" s="13">
        <f ca="1">SUM(D83:D89)</f>
        <v>2.0524142536044967</v>
      </c>
      <c r="E90" s="13">
        <f ca="1">SUM(E83:E89)</f>
        <v>1.6106481521662175</v>
      </c>
      <c r="F90" s="13">
        <f ca="1">SUM(F83:F89)</f>
        <v>1.4496137911753854E-2</v>
      </c>
      <c r="G90" s="13">
        <f ca="1">SUM(G83:G89)</f>
        <v>1.4136675936360607E-2</v>
      </c>
    </row>
    <row r="91" spans="2:7" x14ac:dyDescent="0.35">
      <c r="B91" s="11" t="s">
        <v>38</v>
      </c>
      <c r="C91" s="8"/>
      <c r="D91" s="13">
        <f ca="1">D73+D90</f>
        <v>5.7251629436154285</v>
      </c>
      <c r="E91" s="13">
        <f ca="1">E73+E90</f>
        <v>5.1237236105984163</v>
      </c>
      <c r="F91" s="13">
        <f ca="1">F73+F90</f>
        <v>4.0436647451730631E-2</v>
      </c>
      <c r="G91" s="13">
        <f ca="1">G73+G90</f>
        <v>4.4970976543258316E-2</v>
      </c>
    </row>
    <row r="93" spans="2:7" x14ac:dyDescent="0.35">
      <c r="B93" s="3" t="s">
        <v>46</v>
      </c>
    </row>
    <row r="94" spans="2:7" x14ac:dyDescent="0.35">
      <c r="B94" s="6" t="s">
        <v>9</v>
      </c>
      <c r="C94" s="6" t="s">
        <v>10</v>
      </c>
      <c r="D94" s="6" t="s">
        <v>11</v>
      </c>
      <c r="E94" s="6" t="s">
        <v>12</v>
      </c>
    </row>
    <row r="95" spans="2:7" x14ac:dyDescent="0.35">
      <c r="B95" s="7" t="s">
        <v>47</v>
      </c>
      <c r="C95" s="8" t="s">
        <v>14</v>
      </c>
      <c r="D95" s="9">
        <v>4.53</v>
      </c>
      <c r="E95" s="9">
        <v>2.94</v>
      </c>
    </row>
    <row r="96" spans="2:7" x14ac:dyDescent="0.35">
      <c r="B96" s="7" t="s">
        <v>41</v>
      </c>
      <c r="C96" s="8" t="s">
        <v>14</v>
      </c>
      <c r="D96" s="9">
        <f ca="1">D97*45/365*10.18%</f>
        <v>5.7577236494191497E-2</v>
      </c>
      <c r="E96" s="9">
        <f ca="1">E97*45/365*9.89%</f>
        <v>3.6290356802602695E-2</v>
      </c>
    </row>
    <row r="97" spans="2:5" x14ac:dyDescent="0.35">
      <c r="B97" s="11" t="s">
        <v>38</v>
      </c>
      <c r="C97" s="12" t="s">
        <v>14</v>
      </c>
      <c r="D97" s="13">
        <f ca="1">SUM(D95:D96)</f>
        <v>4.5875772364941918</v>
      </c>
      <c r="E97" s="13">
        <f ca="1">SUM(E95:E96)</f>
        <v>2.9762903568026027</v>
      </c>
    </row>
    <row r="98" spans="2:5" x14ac:dyDescent="0.35">
      <c r="B98" s="7" t="s">
        <v>21</v>
      </c>
      <c r="C98" s="8"/>
      <c r="D98" s="7"/>
      <c r="E98" s="7"/>
    </row>
    <row r="99" spans="2:5" x14ac:dyDescent="0.35">
      <c r="B99" s="7" t="s">
        <v>11</v>
      </c>
      <c r="C99" s="8" t="s">
        <v>16</v>
      </c>
      <c r="D99" s="10">
        <f t="shared" ref="D99:E105" si="8">D75</f>
        <v>0.1018</v>
      </c>
      <c r="E99" s="7"/>
    </row>
    <row r="100" spans="2:5" x14ac:dyDescent="0.35">
      <c r="B100" s="7" t="s">
        <v>12</v>
      </c>
      <c r="C100" s="8" t="s">
        <v>16</v>
      </c>
      <c r="D100" s="10">
        <f t="shared" si="8"/>
        <v>9.8900000000000002E-2</v>
      </c>
      <c r="E100" s="10">
        <f t="shared" si="8"/>
        <v>9.8900000000000002E-2</v>
      </c>
    </row>
    <row r="101" spans="2:5" x14ac:dyDescent="0.35">
      <c r="B101" s="7" t="s">
        <v>31</v>
      </c>
      <c r="C101" s="8" t="s">
        <v>16</v>
      </c>
      <c r="D101" s="10">
        <f t="shared" si="8"/>
        <v>9.6572404371584694E-2</v>
      </c>
      <c r="E101" s="10">
        <f t="shared" si="8"/>
        <v>9.6572404371584694E-2</v>
      </c>
    </row>
    <row r="102" spans="2:5" x14ac:dyDescent="0.35">
      <c r="B102" s="7" t="s">
        <v>32</v>
      </c>
      <c r="C102" s="8" t="s">
        <v>16</v>
      </c>
      <c r="D102" s="10">
        <f t="shared" si="8"/>
        <v>8.5699999999999998E-2</v>
      </c>
      <c r="E102" s="10">
        <f t="shared" si="8"/>
        <v>8.5699999999999998E-2</v>
      </c>
    </row>
    <row r="103" spans="2:5" x14ac:dyDescent="0.35">
      <c r="B103" s="7" t="s">
        <v>33</v>
      </c>
      <c r="C103" s="8" t="s">
        <v>16</v>
      </c>
      <c r="D103" s="10">
        <f t="shared" si="8"/>
        <v>8.5000000000000006E-2</v>
      </c>
      <c r="E103" s="10">
        <f t="shared" si="8"/>
        <v>8.5000000000000006E-2</v>
      </c>
    </row>
    <row r="104" spans="2:5" x14ac:dyDescent="0.35">
      <c r="B104" s="7" t="s">
        <v>34</v>
      </c>
      <c r="C104" s="8" t="s">
        <v>16</v>
      </c>
      <c r="D104" s="10">
        <f t="shared" si="8"/>
        <v>9.4500000000000001E-2</v>
      </c>
      <c r="E104" s="10">
        <f t="shared" si="8"/>
        <v>9.4500000000000001E-2</v>
      </c>
    </row>
    <row r="105" spans="2:5" x14ac:dyDescent="0.35">
      <c r="B105" s="7" t="s">
        <v>35</v>
      </c>
      <c r="C105" s="8" t="s">
        <v>16</v>
      </c>
      <c r="D105" s="10">
        <f t="shared" si="8"/>
        <v>9.4500000000000001E-2</v>
      </c>
      <c r="E105" s="10">
        <f t="shared" si="8"/>
        <v>9.4500000000000001E-2</v>
      </c>
    </row>
    <row r="106" spans="2:5" x14ac:dyDescent="0.35">
      <c r="B106" s="7" t="s">
        <v>36</v>
      </c>
      <c r="C106" s="8"/>
      <c r="D106" s="7"/>
      <c r="E106" s="7"/>
    </row>
    <row r="107" spans="2:5" x14ac:dyDescent="0.35">
      <c r="B107" s="7" t="s">
        <v>11</v>
      </c>
      <c r="C107" s="8" t="s">
        <v>14</v>
      </c>
      <c r="D107" s="9">
        <f ca="1">D$97*D99/2</f>
        <v>0.23350768133755437</v>
      </c>
      <c r="E107" s="9"/>
    </row>
    <row r="108" spans="2:5" x14ac:dyDescent="0.35">
      <c r="B108" s="7" t="s">
        <v>12</v>
      </c>
      <c r="C108" s="8" t="s">
        <v>14</v>
      </c>
      <c r="D108" s="9">
        <f ca="1">D$97*D100</f>
        <v>0.45371138868927557</v>
      </c>
      <c r="E108" s="9">
        <f ca="1">E$97*E100/2</f>
        <v>0.14717755814388869</v>
      </c>
    </row>
    <row r="109" spans="2:5" x14ac:dyDescent="0.35">
      <c r="B109" s="7" t="s">
        <v>31</v>
      </c>
      <c r="C109" s="8" t="s">
        <v>14</v>
      </c>
      <c r="D109" s="9">
        <f t="shared" ref="D109:D112" ca="1" si="9">D$97*D101</f>
        <v>0.44303336396859411</v>
      </c>
      <c r="E109" s="9">
        <f ca="1">E$97*E101</f>
        <v>0.28742751586438903</v>
      </c>
    </row>
    <row r="110" spans="2:5" x14ac:dyDescent="0.35">
      <c r="B110" s="7" t="s">
        <v>32</v>
      </c>
      <c r="C110" s="8" t="s">
        <v>14</v>
      </c>
      <c r="D110" s="9">
        <f t="shared" ca="1" si="9"/>
        <v>0.39315536916755223</v>
      </c>
      <c r="E110" s="9">
        <f ca="1">E$97*E102</f>
        <v>0.25506808357798305</v>
      </c>
    </row>
    <row r="111" spans="2:5" x14ac:dyDescent="0.35">
      <c r="B111" s="7" t="s">
        <v>33</v>
      </c>
      <c r="C111" s="8" t="s">
        <v>14</v>
      </c>
      <c r="D111" s="9">
        <f t="shared" ca="1" si="9"/>
        <v>0.38994406510200635</v>
      </c>
      <c r="E111" s="9">
        <f ca="1">E$97*E103</f>
        <v>0.25298468032822125</v>
      </c>
    </row>
    <row r="112" spans="2:5" x14ac:dyDescent="0.35">
      <c r="B112" s="7" t="s">
        <v>34</v>
      </c>
      <c r="C112" s="8" t="s">
        <v>14</v>
      </c>
      <c r="D112" s="9">
        <f t="shared" ca="1" si="9"/>
        <v>0.43352604884870111</v>
      </c>
      <c r="E112" s="9">
        <f ca="1">E$97*E104</f>
        <v>0.28125943871784598</v>
      </c>
    </row>
    <row r="113" spans="2:5" x14ac:dyDescent="0.35">
      <c r="B113" s="7" t="s">
        <v>35</v>
      </c>
      <c r="C113" s="8" t="s">
        <v>14</v>
      </c>
      <c r="D113" s="9">
        <f ca="1">D$97*D105/2</f>
        <v>0.21676302442435055</v>
      </c>
      <c r="E113" s="9">
        <f ca="1">E$97*E105/2</f>
        <v>0.14062971935892299</v>
      </c>
    </row>
    <row r="114" spans="2:5" x14ac:dyDescent="0.35">
      <c r="B114" s="11" t="s">
        <v>37</v>
      </c>
      <c r="C114" s="12" t="s">
        <v>14</v>
      </c>
      <c r="D114" s="13">
        <f ca="1">SUM(D107:D113)</f>
        <v>2.5636409415380341</v>
      </c>
      <c r="E114" s="13">
        <f ca="1">SUM(E107:E113)</f>
        <v>1.3645469959912511</v>
      </c>
    </row>
    <row r="115" spans="2:5" x14ac:dyDescent="0.35">
      <c r="B115" s="11" t="s">
        <v>38</v>
      </c>
      <c r="C115" s="8"/>
      <c r="D115" s="13">
        <f ca="1">D97+D114</f>
        <v>7.1512181780322255</v>
      </c>
      <c r="E115" s="13">
        <f ca="1">E97+E114</f>
        <v>4.3408373527938533</v>
      </c>
    </row>
    <row r="117" spans="2:5" x14ac:dyDescent="0.35">
      <c r="B117" s="3" t="s">
        <v>48</v>
      </c>
    </row>
    <row r="118" spans="2:5" x14ac:dyDescent="0.35">
      <c r="B118" s="6" t="s">
        <v>9</v>
      </c>
      <c r="C118" s="6" t="s">
        <v>10</v>
      </c>
      <c r="D118" s="6" t="s">
        <v>11</v>
      </c>
      <c r="E118" s="6" t="s">
        <v>12</v>
      </c>
    </row>
    <row r="119" spans="2:5" x14ac:dyDescent="0.35">
      <c r="B119" s="7" t="s">
        <v>49</v>
      </c>
      <c r="C119" s="8" t="s">
        <v>14</v>
      </c>
      <c r="D119" s="9">
        <v>2.77</v>
      </c>
      <c r="E119" s="9">
        <v>2.78</v>
      </c>
    </row>
    <row r="120" spans="2:5" x14ac:dyDescent="0.35">
      <c r="B120" s="7" t="s">
        <v>41</v>
      </c>
      <c r="C120" s="8" t="s">
        <v>14</v>
      </c>
      <c r="D120" s="9">
        <f ca="1">D121*45/365*10.18%</f>
        <v>3.5207272646558589E-2</v>
      </c>
      <c r="E120" s="9">
        <f ca="1">E121*45/365*9.89%</f>
        <v>3.4315371398379417E-2</v>
      </c>
    </row>
    <row r="121" spans="2:5" x14ac:dyDescent="0.35">
      <c r="B121" s="11" t="s">
        <v>38</v>
      </c>
      <c r="C121" s="12" t="s">
        <v>14</v>
      </c>
      <c r="D121" s="13">
        <f ca="1">SUM(D119:D120)</f>
        <v>2.8052072726465584</v>
      </c>
      <c r="E121" s="13">
        <f ca="1">SUM(E119:E120)</f>
        <v>2.8143153713983793</v>
      </c>
    </row>
    <row r="122" spans="2:5" x14ac:dyDescent="0.35">
      <c r="B122" s="7" t="s">
        <v>21</v>
      </c>
      <c r="C122" s="8"/>
      <c r="D122" s="7"/>
      <c r="E122" s="7"/>
    </row>
    <row r="123" spans="2:5" x14ac:dyDescent="0.35">
      <c r="B123" s="7" t="s">
        <v>11</v>
      </c>
      <c r="C123" s="8" t="s">
        <v>16</v>
      </c>
      <c r="D123" s="10">
        <f>D99</f>
        <v>0.1018</v>
      </c>
      <c r="E123" s="7"/>
    </row>
    <row r="124" spans="2:5" x14ac:dyDescent="0.35">
      <c r="B124" s="7" t="s">
        <v>12</v>
      </c>
      <c r="C124" s="8" t="s">
        <v>16</v>
      </c>
      <c r="D124" s="10">
        <f t="shared" ref="D124:E129" si="10">D100</f>
        <v>9.8900000000000002E-2</v>
      </c>
      <c r="E124" s="10">
        <f t="shared" si="10"/>
        <v>9.8900000000000002E-2</v>
      </c>
    </row>
    <row r="125" spans="2:5" x14ac:dyDescent="0.35">
      <c r="B125" s="7" t="s">
        <v>31</v>
      </c>
      <c r="C125" s="8" t="s">
        <v>16</v>
      </c>
      <c r="D125" s="10">
        <f t="shared" si="10"/>
        <v>9.6572404371584694E-2</v>
      </c>
      <c r="E125" s="10">
        <f t="shared" si="10"/>
        <v>9.6572404371584694E-2</v>
      </c>
    </row>
    <row r="126" spans="2:5" x14ac:dyDescent="0.35">
      <c r="B126" s="7" t="s">
        <v>32</v>
      </c>
      <c r="C126" s="8" t="s">
        <v>16</v>
      </c>
      <c r="D126" s="10">
        <f t="shared" si="10"/>
        <v>8.5699999999999998E-2</v>
      </c>
      <c r="E126" s="10">
        <f t="shared" si="10"/>
        <v>8.5699999999999998E-2</v>
      </c>
    </row>
    <row r="127" spans="2:5" x14ac:dyDescent="0.35">
      <c r="B127" s="7" t="s">
        <v>33</v>
      </c>
      <c r="C127" s="8" t="s">
        <v>16</v>
      </c>
      <c r="D127" s="10">
        <f t="shared" si="10"/>
        <v>8.5000000000000006E-2</v>
      </c>
      <c r="E127" s="10">
        <f t="shared" si="10"/>
        <v>8.5000000000000006E-2</v>
      </c>
    </row>
    <row r="128" spans="2:5" x14ac:dyDescent="0.35">
      <c r="B128" s="7" t="s">
        <v>34</v>
      </c>
      <c r="C128" s="8" t="s">
        <v>16</v>
      </c>
      <c r="D128" s="10">
        <f t="shared" si="10"/>
        <v>9.4500000000000001E-2</v>
      </c>
      <c r="E128" s="10">
        <f t="shared" si="10"/>
        <v>9.4500000000000001E-2</v>
      </c>
    </row>
    <row r="129" spans="2:5" x14ac:dyDescent="0.35">
      <c r="B129" s="7" t="s">
        <v>35</v>
      </c>
      <c r="C129" s="8" t="s">
        <v>16</v>
      </c>
      <c r="D129" s="10">
        <f t="shared" si="10"/>
        <v>9.4500000000000001E-2</v>
      </c>
      <c r="E129" s="10">
        <f t="shared" si="10"/>
        <v>9.4500000000000001E-2</v>
      </c>
    </row>
    <row r="130" spans="2:5" x14ac:dyDescent="0.35">
      <c r="B130" s="7" t="s">
        <v>36</v>
      </c>
      <c r="C130" s="8"/>
      <c r="D130" s="7"/>
      <c r="E130" s="7"/>
    </row>
    <row r="131" spans="2:5" x14ac:dyDescent="0.35">
      <c r="B131" s="7" t="s">
        <v>11</v>
      </c>
      <c r="C131" s="8" t="s">
        <v>14</v>
      </c>
      <c r="D131" s="9">
        <f ca="1">D$121*D123/2</f>
        <v>0.14278505017770982</v>
      </c>
      <c r="E131" s="9"/>
    </row>
    <row r="132" spans="2:5" x14ac:dyDescent="0.35">
      <c r="B132" s="7" t="s">
        <v>12</v>
      </c>
      <c r="C132" s="8" t="s">
        <v>14</v>
      </c>
      <c r="D132" s="9">
        <f ca="1">D$121*D124</f>
        <v>0.27743499926474463</v>
      </c>
      <c r="E132" s="9">
        <f ca="1">E$121*E124/2</f>
        <v>0.13916789511564986</v>
      </c>
    </row>
    <row r="133" spans="2:5" x14ac:dyDescent="0.35">
      <c r="B133" s="7" t="s">
        <v>31</v>
      </c>
      <c r="C133" s="8" t="s">
        <v>14</v>
      </c>
      <c r="D133" s="9">
        <f t="shared" ref="D133:E136" ca="1" si="11">D$121*D125</f>
        <v>0.27090561108013367</v>
      </c>
      <c r="E133" s="9">
        <f t="shared" ca="1" si="11"/>
        <v>0.27178520207585083</v>
      </c>
    </row>
    <row r="134" spans="2:5" x14ac:dyDescent="0.35">
      <c r="B134" s="7" t="s">
        <v>32</v>
      </c>
      <c r="C134" s="8" t="s">
        <v>14</v>
      </c>
      <c r="D134" s="9">
        <f t="shared" ca="1" si="11"/>
        <v>0.24040626326581005</v>
      </c>
      <c r="E134" s="9">
        <f t="shared" ca="1" si="11"/>
        <v>0.24118682732884111</v>
      </c>
    </row>
    <row r="135" spans="2:5" x14ac:dyDescent="0.35">
      <c r="B135" s="7" t="s">
        <v>33</v>
      </c>
      <c r="C135" s="8" t="s">
        <v>14</v>
      </c>
      <c r="D135" s="9">
        <f t="shared" ca="1" si="11"/>
        <v>0.23844261817495749</v>
      </c>
      <c r="E135" s="9">
        <f t="shared" ca="1" si="11"/>
        <v>0.23921680656886227</v>
      </c>
    </row>
    <row r="136" spans="2:5" x14ac:dyDescent="0.35">
      <c r="B136" s="7" t="s">
        <v>34</v>
      </c>
      <c r="C136" s="8" t="s">
        <v>14</v>
      </c>
      <c r="D136" s="9">
        <f t="shared" ca="1" si="11"/>
        <v>0.26509208726509975</v>
      </c>
      <c r="E136" s="9">
        <f t="shared" ca="1" si="11"/>
        <v>0.26595280259714682</v>
      </c>
    </row>
    <row r="137" spans="2:5" x14ac:dyDescent="0.35">
      <c r="B137" s="7" t="s">
        <v>35</v>
      </c>
      <c r="C137" s="8" t="s">
        <v>14</v>
      </c>
      <c r="D137" s="9">
        <f ca="1">D$121*D129/2</f>
        <v>0.13254604363254988</v>
      </c>
      <c r="E137" s="9">
        <f ca="1">E$121*E129/2</f>
        <v>0.13297640129857341</v>
      </c>
    </row>
    <row r="138" spans="2:5" x14ac:dyDescent="0.35">
      <c r="B138" s="11" t="s">
        <v>37</v>
      </c>
      <c r="C138" s="12" t="s">
        <v>14</v>
      </c>
      <c r="D138" s="13">
        <f ca="1">SUM(D131:D137)</f>
        <v>1.5676126728610054</v>
      </c>
      <c r="E138" s="13">
        <f ca="1">SUM(E131:E137)</f>
        <v>1.2902859349849243</v>
      </c>
    </row>
    <row r="139" spans="2:5" x14ac:dyDescent="0.35">
      <c r="B139" s="11" t="s">
        <v>38</v>
      </c>
      <c r="C139" s="8"/>
      <c r="D139" s="13">
        <f ca="1">D121+D138</f>
        <v>4.3728199455075636</v>
      </c>
      <c r="E139" s="13">
        <f ca="1">E121+E138</f>
        <v>4.1046013063833033</v>
      </c>
    </row>
    <row r="141" spans="2:5" x14ac:dyDescent="0.35">
      <c r="B141" s="3"/>
    </row>
  </sheetData>
  <mergeCells count="4">
    <mergeCell ref="B66:B67"/>
    <mergeCell ref="C66:C67"/>
    <mergeCell ref="D66:E66"/>
    <mergeCell ref="F66:G6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7"/>
  <sheetViews>
    <sheetView showGridLines="0" workbookViewId="0"/>
  </sheetViews>
  <sheetFormatPr defaultColWidth="9.1796875" defaultRowHeight="15.5" x14ac:dyDescent="0.35"/>
  <cols>
    <col min="1" max="1" width="9.1796875" style="5"/>
    <col min="2" max="2" width="35.7265625" style="5" customWidth="1"/>
    <col min="3" max="3" width="9.54296875" style="4" bestFit="1" customWidth="1"/>
    <col min="4" max="4" width="8.81640625" style="5" bestFit="1" customWidth="1"/>
    <col min="5" max="5" width="10.26953125" style="5" bestFit="1" customWidth="1"/>
    <col min="6" max="6" width="8.81640625" style="5" bestFit="1" customWidth="1"/>
    <col min="7" max="7" width="10.26953125" style="5" bestFit="1" customWidth="1"/>
    <col min="8" max="16384" width="9.1796875" style="5"/>
  </cols>
  <sheetData>
    <row r="2" spans="2:7" x14ac:dyDescent="0.35">
      <c r="B2" s="3" t="s">
        <v>373</v>
      </c>
    </row>
    <row r="3" spans="2:7" x14ac:dyDescent="0.35">
      <c r="B3" s="201" t="s">
        <v>9</v>
      </c>
      <c r="C3" s="150" t="s">
        <v>10</v>
      </c>
      <c r="D3" s="187" t="s">
        <v>35</v>
      </c>
      <c r="E3" s="187"/>
      <c r="F3" s="187" t="s">
        <v>35</v>
      </c>
      <c r="G3" s="187"/>
    </row>
    <row r="4" spans="2:7" x14ac:dyDescent="0.35">
      <c r="B4" s="202"/>
      <c r="C4" s="151"/>
      <c r="D4" s="6" t="s">
        <v>131</v>
      </c>
      <c r="E4" s="6" t="s">
        <v>372</v>
      </c>
      <c r="F4" s="6" t="s">
        <v>131</v>
      </c>
      <c r="G4" s="6" t="s">
        <v>372</v>
      </c>
    </row>
    <row r="5" spans="2:7" x14ac:dyDescent="0.35">
      <c r="B5" s="136" t="s">
        <v>374</v>
      </c>
      <c r="C5" s="113" t="s">
        <v>14</v>
      </c>
      <c r="D5" s="9">
        <f>ARR!V94</f>
        <v>292.70393174220897</v>
      </c>
      <c r="E5" s="9">
        <f ca="1">ARR!W94</f>
        <v>288.80508243203269</v>
      </c>
      <c r="F5" s="9">
        <f>ARR!V113</f>
        <v>322.01999109116372</v>
      </c>
      <c r="G5" s="9">
        <f ca="1">ARR!W113</f>
        <v>310.42064768061402</v>
      </c>
    </row>
    <row r="6" spans="2:7" ht="31" x14ac:dyDescent="0.35">
      <c r="B6" s="137" t="s">
        <v>375</v>
      </c>
      <c r="C6" s="8"/>
      <c r="D6" s="7"/>
      <c r="E6" s="7"/>
      <c r="F6" s="7"/>
      <c r="G6" s="7"/>
    </row>
    <row r="7" spans="2:7" x14ac:dyDescent="0.35">
      <c r="B7" s="138" t="s">
        <v>186</v>
      </c>
      <c r="C7" s="113" t="s">
        <v>14</v>
      </c>
      <c r="D7" s="9">
        <v>129.4673738898494</v>
      </c>
      <c r="E7" s="9">
        <f ca="1">D7/D$5*E$5</f>
        <v>127.74285390005528</v>
      </c>
      <c r="F7" s="9">
        <v>148.68291305349504</v>
      </c>
      <c r="G7" s="9">
        <f ca="1">F7/F$5*G$5</f>
        <v>143.32726987760245</v>
      </c>
    </row>
    <row r="8" spans="2:7" x14ac:dyDescent="0.35">
      <c r="B8" s="138" t="s">
        <v>187</v>
      </c>
      <c r="C8" s="113" t="s">
        <v>14</v>
      </c>
      <c r="D8" s="9">
        <v>7.742362788458415</v>
      </c>
      <c r="E8" s="9">
        <f ca="1">D8/D$5*E$5</f>
        <v>7.6392336448311227</v>
      </c>
      <c r="F8" s="9">
        <v>8.0002007120479401</v>
      </c>
      <c r="G8" s="9">
        <f ca="1">F8/F$5*G$5</f>
        <v>7.7120289277499356</v>
      </c>
    </row>
    <row r="9" spans="2:7" x14ac:dyDescent="0.35">
      <c r="B9" s="138" t="s">
        <v>188</v>
      </c>
      <c r="C9" s="113" t="s">
        <v>14</v>
      </c>
      <c r="D9" s="9">
        <v>17.168807123805088</v>
      </c>
      <c r="E9" s="9">
        <f ca="1">D9/D$5*E$5</f>
        <v>16.940116680828218</v>
      </c>
      <c r="F9" s="9">
        <v>17.662777471306104</v>
      </c>
      <c r="G9" s="9">
        <f ca="1">F9/F$5*G$5</f>
        <v>17.026554171070686</v>
      </c>
    </row>
    <row r="10" spans="2:7" x14ac:dyDescent="0.35">
      <c r="B10" s="137" t="s">
        <v>376</v>
      </c>
      <c r="C10" s="113" t="s">
        <v>14</v>
      </c>
      <c r="D10" s="9">
        <f>D5-SUM(D7:D9)</f>
        <v>138.32538794009605</v>
      </c>
      <c r="E10" s="9">
        <f ca="1">E5-SUM(E7:E9)</f>
        <v>136.48287820631805</v>
      </c>
      <c r="F10" s="9">
        <f>F5-SUM(F7:F9)</f>
        <v>147.67409985431465</v>
      </c>
      <c r="G10" s="9">
        <f ca="1">G5-SUM(G7:G9)</f>
        <v>142.35479470419097</v>
      </c>
    </row>
    <row r="11" spans="2:7" x14ac:dyDescent="0.35">
      <c r="B11" s="136"/>
      <c r="C11" s="113"/>
      <c r="D11" s="9"/>
      <c r="E11" s="9"/>
      <c r="F11" s="9"/>
      <c r="G11" s="9"/>
    </row>
    <row r="12" spans="2:7" x14ac:dyDescent="0.35">
      <c r="B12" s="136" t="s">
        <v>377</v>
      </c>
      <c r="C12" s="113"/>
      <c r="D12" s="9"/>
      <c r="E12" s="9"/>
      <c r="F12" s="9"/>
      <c r="G12" s="9"/>
    </row>
    <row r="13" spans="2:7" x14ac:dyDescent="0.35">
      <c r="B13" s="138" t="s">
        <v>186</v>
      </c>
      <c r="C13" s="113" t="s">
        <v>378</v>
      </c>
      <c r="D13" s="9">
        <v>3158</v>
      </c>
      <c r="E13" s="9">
        <v>3158</v>
      </c>
      <c r="F13" s="9">
        <v>3158</v>
      </c>
      <c r="G13" s="9">
        <v>3158</v>
      </c>
    </row>
    <row r="14" spans="2:7" x14ac:dyDescent="0.35">
      <c r="B14" s="138" t="s">
        <v>187</v>
      </c>
      <c r="C14" s="113" t="s">
        <v>378</v>
      </c>
      <c r="D14" s="9">
        <v>70</v>
      </c>
      <c r="E14" s="9">
        <v>70</v>
      </c>
      <c r="F14" s="9">
        <v>70</v>
      </c>
      <c r="G14" s="9">
        <v>70</v>
      </c>
    </row>
    <row r="15" spans="2:7" x14ac:dyDescent="0.35">
      <c r="B15" s="138" t="s">
        <v>188</v>
      </c>
      <c r="C15" s="113" t="s">
        <v>378</v>
      </c>
      <c r="D15" s="9">
        <v>106.059</v>
      </c>
      <c r="E15" s="9">
        <v>106.059</v>
      </c>
      <c r="F15" s="9">
        <v>106.059</v>
      </c>
      <c r="G15" s="9">
        <v>106.059</v>
      </c>
    </row>
    <row r="16" spans="2:7" x14ac:dyDescent="0.35">
      <c r="B16" s="136" t="s">
        <v>379</v>
      </c>
      <c r="C16" s="8"/>
      <c r="D16" s="7"/>
      <c r="E16" s="7"/>
      <c r="F16" s="7"/>
      <c r="G16" s="7"/>
    </row>
    <row r="17" spans="2:7" x14ac:dyDescent="0.35">
      <c r="B17" s="138" t="s">
        <v>186</v>
      </c>
      <c r="C17" s="112" t="s">
        <v>16</v>
      </c>
      <c r="D17" s="14">
        <v>1.1299999999999999E-2</v>
      </c>
      <c r="E17" s="14">
        <v>1.1299999999999999E-2</v>
      </c>
      <c r="F17" s="14">
        <v>1.1299999999999999E-2</v>
      </c>
      <c r="G17" s="14">
        <v>1.1299999999999999E-2</v>
      </c>
    </row>
    <row r="18" spans="2:7" x14ac:dyDescent="0.35">
      <c r="B18" s="138" t="s">
        <v>187</v>
      </c>
      <c r="C18" s="112" t="s">
        <v>16</v>
      </c>
      <c r="D18" s="14">
        <v>7.0000000000000001E-3</v>
      </c>
      <c r="E18" s="14">
        <v>7.0000000000000001E-3</v>
      </c>
      <c r="F18" s="14">
        <v>7.0000000000000001E-3</v>
      </c>
      <c r="G18" s="14">
        <v>7.0000000000000001E-3</v>
      </c>
    </row>
    <row r="19" spans="2:7" x14ac:dyDescent="0.35">
      <c r="B19" s="138" t="s">
        <v>188</v>
      </c>
      <c r="C19" s="112" t="s">
        <v>16</v>
      </c>
      <c r="D19" s="14">
        <v>1.2E-2</v>
      </c>
      <c r="E19" s="14">
        <v>1.2E-2</v>
      </c>
      <c r="F19" s="14">
        <v>1.2E-2</v>
      </c>
      <c r="G19" s="14">
        <v>1.2E-2</v>
      </c>
    </row>
    <row r="20" spans="2:7" x14ac:dyDescent="0.35">
      <c r="B20" s="136" t="s">
        <v>380</v>
      </c>
      <c r="C20" s="8"/>
      <c r="D20" s="7"/>
      <c r="E20" s="7"/>
      <c r="F20" s="7"/>
      <c r="G20" s="7"/>
    </row>
    <row r="21" spans="2:7" x14ac:dyDescent="0.35">
      <c r="B21" s="138" t="s">
        <v>186</v>
      </c>
      <c r="C21" s="113" t="s">
        <v>14</v>
      </c>
      <c r="D21" s="9">
        <f>50%*D7</f>
        <v>64.733686944924699</v>
      </c>
      <c r="E21" s="9">
        <f t="shared" ref="E21:G21" ca="1" si="0">50%*E7</f>
        <v>63.87142695002764</v>
      </c>
      <c r="F21" s="9">
        <f t="shared" si="0"/>
        <v>74.341456526747521</v>
      </c>
      <c r="G21" s="9">
        <f t="shared" ca="1" si="0"/>
        <v>71.663634938801223</v>
      </c>
    </row>
    <row r="22" spans="2:7" x14ac:dyDescent="0.35">
      <c r="B22" s="138" t="s">
        <v>187</v>
      </c>
      <c r="C22" s="113" t="s">
        <v>14</v>
      </c>
      <c r="D22" s="9">
        <f t="shared" ref="D22:G23" si="1">50%*D8</f>
        <v>3.8711813942292075</v>
      </c>
      <c r="E22" s="9">
        <f t="shared" ca="1" si="1"/>
        <v>3.8196168224155613</v>
      </c>
      <c r="F22" s="9">
        <f t="shared" si="1"/>
        <v>4.0001003560239701</v>
      </c>
      <c r="G22" s="9">
        <f t="shared" ca="1" si="1"/>
        <v>3.8560144638749678</v>
      </c>
    </row>
    <row r="23" spans="2:7" x14ac:dyDescent="0.35">
      <c r="B23" s="138" t="s">
        <v>188</v>
      </c>
      <c r="C23" s="113" t="s">
        <v>14</v>
      </c>
      <c r="D23" s="9">
        <f t="shared" si="1"/>
        <v>8.5844035619025441</v>
      </c>
      <c r="E23" s="9">
        <f t="shared" ca="1" si="1"/>
        <v>8.4700583404141092</v>
      </c>
      <c r="F23" s="9">
        <f t="shared" si="1"/>
        <v>8.8313887356530518</v>
      </c>
      <c r="G23" s="9">
        <f t="shared" ca="1" si="1"/>
        <v>8.5132770855353428</v>
      </c>
    </row>
    <row r="24" spans="2:7" x14ac:dyDescent="0.35">
      <c r="B24" s="136" t="s">
        <v>381</v>
      </c>
      <c r="C24" s="113"/>
      <c r="D24" s="9"/>
      <c r="E24" s="9"/>
      <c r="F24" s="9"/>
      <c r="G24" s="9"/>
    </row>
    <row r="25" spans="2:7" x14ac:dyDescent="0.35">
      <c r="B25" s="138" t="s">
        <v>186</v>
      </c>
      <c r="C25" s="139" t="s">
        <v>382</v>
      </c>
      <c r="D25" s="130">
        <f>D21*10/(D13*(1-D17))</f>
        <v>0.20732595922564848</v>
      </c>
      <c r="E25" s="130">
        <f t="shared" ref="E25:G25" ca="1" si="2">E21*10/(E13*(1-E17))</f>
        <v>0.20456435411738341</v>
      </c>
      <c r="F25" s="130">
        <f t="shared" si="2"/>
        <v>0.23809726453172755</v>
      </c>
      <c r="G25" s="130">
        <f t="shared" ca="1" si="2"/>
        <v>0.22952086551048131</v>
      </c>
    </row>
    <row r="26" spans="2:7" x14ac:dyDescent="0.35">
      <c r="B26" s="138" t="s">
        <v>187</v>
      </c>
      <c r="C26" s="139" t="s">
        <v>382</v>
      </c>
      <c r="D26" s="130">
        <f t="shared" ref="D26:G27" si="3">D22*10/(D14*(1-D18))</f>
        <v>0.55692438415036793</v>
      </c>
      <c r="E26" s="130">
        <f t="shared" ca="1" si="3"/>
        <v>0.54950608868012674</v>
      </c>
      <c r="F26" s="130">
        <f t="shared" si="3"/>
        <v>0.5754712064485642</v>
      </c>
      <c r="G26" s="130">
        <f t="shared" ca="1" si="3"/>
        <v>0.55474240596676272</v>
      </c>
    </row>
    <row r="27" spans="2:7" x14ac:dyDescent="0.35">
      <c r="B27" s="138" t="s">
        <v>188</v>
      </c>
      <c r="C27" s="139" t="s">
        <v>382</v>
      </c>
      <c r="D27" s="130">
        <f t="shared" si="3"/>
        <v>0.81922963376760627</v>
      </c>
      <c r="E27" s="130">
        <f t="shared" ca="1" si="3"/>
        <v>0.80831740285400211</v>
      </c>
      <c r="F27" s="130">
        <f t="shared" si="3"/>
        <v>0.84280000437968083</v>
      </c>
      <c r="G27" s="130">
        <f t="shared" ca="1" si="3"/>
        <v>0.81244186840157895</v>
      </c>
    </row>
  </sheetData>
  <mergeCells count="4"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J108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5.26953125" style="5" customWidth="1"/>
    <col min="3" max="3" width="19.1796875" style="5" bestFit="1" customWidth="1"/>
    <col min="4" max="4" width="18.81640625" style="5" bestFit="1" customWidth="1"/>
    <col min="5" max="5" width="11.453125" style="5" customWidth="1"/>
    <col min="6" max="6" width="14.7265625" style="5" customWidth="1"/>
    <col min="7" max="7" width="18.1796875" style="5" customWidth="1"/>
    <col min="8" max="8" width="12.7265625" style="5" customWidth="1"/>
    <col min="9" max="9" width="11.453125" style="5" customWidth="1"/>
    <col min="10" max="10" width="19.81640625" style="5" customWidth="1"/>
    <col min="11" max="11" width="9.1796875" style="5"/>
    <col min="12" max="12" width="18" style="5" customWidth="1"/>
    <col min="13" max="13" width="16" style="5" customWidth="1"/>
    <col min="14" max="14" width="15" style="5" customWidth="1"/>
    <col min="15" max="16" width="15.81640625" style="5" customWidth="1"/>
    <col min="17" max="17" width="16" style="5" customWidth="1"/>
    <col min="18" max="18" width="15" style="5" customWidth="1"/>
    <col min="19" max="20" width="15.81640625" style="5" customWidth="1"/>
    <col min="21" max="21" width="16" style="5" customWidth="1"/>
    <col min="22" max="22" width="15" style="5" customWidth="1"/>
    <col min="23" max="24" width="15.81640625" style="5" customWidth="1"/>
    <col min="25" max="25" width="16" style="5" customWidth="1"/>
    <col min="26" max="26" width="15" style="5" customWidth="1"/>
    <col min="27" max="28" width="15.81640625" style="5" customWidth="1"/>
    <col min="29" max="29" width="16" style="5" customWidth="1"/>
    <col min="30" max="30" width="15" style="5" customWidth="1"/>
    <col min="31" max="32" width="15.81640625" style="5" customWidth="1"/>
    <col min="33" max="33" width="16" style="5" customWidth="1"/>
    <col min="34" max="34" width="15" style="5" customWidth="1"/>
    <col min="35" max="35" width="15.81640625" style="5" customWidth="1"/>
    <col min="36" max="36" width="12.7265625" style="5" customWidth="1"/>
    <col min="37" max="37" width="11.453125" style="5" customWidth="1"/>
    <col min="38" max="38" width="19.81640625" style="5" customWidth="1"/>
    <col min="39" max="16384" width="9.1796875" style="5"/>
  </cols>
  <sheetData>
    <row r="2" spans="2:10" x14ac:dyDescent="0.35">
      <c r="B2" s="3" t="s">
        <v>383</v>
      </c>
    </row>
    <row r="3" spans="2:10" ht="30" x14ac:dyDescent="0.35">
      <c r="B3" s="150" t="s">
        <v>170</v>
      </c>
      <c r="C3" s="6" t="s">
        <v>29</v>
      </c>
      <c r="D3" s="6" t="s">
        <v>28</v>
      </c>
      <c r="E3" s="96" t="s">
        <v>384</v>
      </c>
      <c r="F3" s="96" t="s">
        <v>385</v>
      </c>
      <c r="G3" s="96" t="s">
        <v>386</v>
      </c>
      <c r="H3" s="96" t="s">
        <v>387</v>
      </c>
      <c r="I3" s="96" t="s">
        <v>388</v>
      </c>
      <c r="J3" s="96" t="s">
        <v>389</v>
      </c>
    </row>
    <row r="4" spans="2:10" x14ac:dyDescent="0.35">
      <c r="B4" s="151"/>
      <c r="C4" s="6" t="s">
        <v>16</v>
      </c>
      <c r="D4" s="6" t="s">
        <v>16</v>
      </c>
      <c r="E4" s="6" t="s">
        <v>14</v>
      </c>
      <c r="F4" s="6" t="s">
        <v>14</v>
      </c>
      <c r="G4" s="6" t="s">
        <v>14</v>
      </c>
      <c r="H4" s="6" t="s">
        <v>14</v>
      </c>
      <c r="I4" s="6" t="s">
        <v>14</v>
      </c>
      <c r="J4" s="6" t="s">
        <v>14</v>
      </c>
    </row>
    <row r="5" spans="2:10" x14ac:dyDescent="0.35">
      <c r="B5" s="7" t="s">
        <v>43</v>
      </c>
      <c r="C5" s="10">
        <f>EC!C5</f>
        <v>0.8</v>
      </c>
      <c r="D5" s="10">
        <f>EC!D5</f>
        <v>0.96540000000000004</v>
      </c>
      <c r="E5" s="9">
        <f>ARR!W5</f>
        <v>123.53352116553802</v>
      </c>
      <c r="F5" s="9">
        <f>'O&amp;M (Summary)'!W5</f>
        <v>6.6319925676984157</v>
      </c>
      <c r="G5" s="9">
        <f>E5-F5</f>
        <v>116.9015285978396</v>
      </c>
      <c r="H5" s="9">
        <f>G5-I5</f>
        <v>0</v>
      </c>
      <c r="I5" s="97">
        <f>MIN(D5/C5,1)*G5</f>
        <v>116.9015285978396</v>
      </c>
      <c r="J5" s="97">
        <f>I5+F5</f>
        <v>123.53352116553802</v>
      </c>
    </row>
    <row r="6" spans="2:10" x14ac:dyDescent="0.35">
      <c r="B6" s="7" t="s">
        <v>150</v>
      </c>
      <c r="C6" s="10">
        <f>EC!C6</f>
        <v>0.8</v>
      </c>
      <c r="D6" s="10">
        <f>EC!D6</f>
        <v>0.61760000000000004</v>
      </c>
      <c r="E6" s="9">
        <f>ARR!W6</f>
        <v>882.44779309293199</v>
      </c>
      <c r="F6" s="9">
        <f>'O&amp;M (Summary)'!W6</f>
        <v>14.498739656919401</v>
      </c>
      <c r="G6" s="9">
        <f t="shared" ref="G6:G17" si="0">E6-F6</f>
        <v>867.9490534360126</v>
      </c>
      <c r="H6" s="9">
        <f t="shared" ref="H6:H17" si="1">G6-I6</f>
        <v>197.89238418341085</v>
      </c>
      <c r="I6" s="97">
        <f t="shared" ref="I6:I17" si="2">MIN(D6/C6,1)*G6</f>
        <v>670.05666925260175</v>
      </c>
      <c r="J6" s="97">
        <f t="shared" ref="J6:J17" si="3">I6+F6</f>
        <v>684.55540890952113</v>
      </c>
    </row>
    <row r="7" spans="2:10" x14ac:dyDescent="0.35">
      <c r="B7" s="7" t="s">
        <v>151</v>
      </c>
      <c r="C7" s="10">
        <f>EC!C7</f>
        <v>0.85</v>
      </c>
      <c r="D7" s="10">
        <f>EC!D7</f>
        <v>0.73380000000000001</v>
      </c>
      <c r="E7" s="9">
        <f>ARR!W7</f>
        <v>500.45621787233307</v>
      </c>
      <c r="F7" s="9">
        <f>'O&amp;M (Summary)'!W7</f>
        <v>7.3540757122428966</v>
      </c>
      <c r="G7" s="9">
        <f t="shared" si="0"/>
        <v>493.10214216009018</v>
      </c>
      <c r="H7" s="9">
        <f t="shared" si="1"/>
        <v>67.409963434120527</v>
      </c>
      <c r="I7" s="97">
        <f t="shared" si="2"/>
        <v>425.69217872596965</v>
      </c>
      <c r="J7" s="97">
        <f t="shared" si="3"/>
        <v>433.04625443821254</v>
      </c>
    </row>
    <row r="8" spans="2:10" x14ac:dyDescent="0.35">
      <c r="B8" s="7" t="s">
        <v>44</v>
      </c>
      <c r="C8" s="10">
        <f>EC!C8</f>
        <v>0.72</v>
      </c>
      <c r="D8" s="10">
        <f>EC!D8</f>
        <v>0.67320000000000002</v>
      </c>
      <c r="E8" s="9">
        <f>ARR!W8</f>
        <v>328.36529023048882</v>
      </c>
      <c r="F8" s="9">
        <f>'O&amp;M (Summary)'!W8</f>
        <v>2.8912215510000001</v>
      </c>
      <c r="G8" s="9">
        <f t="shared" si="0"/>
        <v>325.47406867948882</v>
      </c>
      <c r="H8" s="9">
        <f t="shared" si="1"/>
        <v>21.155814464166781</v>
      </c>
      <c r="I8" s="97">
        <f t="shared" si="2"/>
        <v>304.31825421532204</v>
      </c>
      <c r="J8" s="97">
        <f t="shared" si="3"/>
        <v>307.20947576632204</v>
      </c>
    </row>
    <row r="9" spans="2:10" x14ac:dyDescent="0.35">
      <c r="B9" s="7" t="s">
        <v>152</v>
      </c>
      <c r="C9" s="10">
        <f>EC!C9</f>
        <v>0.8</v>
      </c>
      <c r="D9" s="10">
        <f>EC!D9</f>
        <v>0.81140000000000001</v>
      </c>
      <c r="E9" s="9">
        <f>ARR!W9</f>
        <v>402.0399534745456</v>
      </c>
      <c r="F9" s="9">
        <f>'O&amp;M (Summary)'!W9</f>
        <v>23.902356424000001</v>
      </c>
      <c r="G9" s="9">
        <f t="shared" si="0"/>
        <v>378.13759705054559</v>
      </c>
      <c r="H9" s="9">
        <f t="shared" si="1"/>
        <v>0</v>
      </c>
      <c r="I9" s="97">
        <f t="shared" si="2"/>
        <v>378.13759705054559</v>
      </c>
      <c r="J9" s="97">
        <f t="shared" si="3"/>
        <v>402.0399534745456</v>
      </c>
    </row>
    <row r="10" spans="2:10" x14ac:dyDescent="0.35">
      <c r="B10" s="7" t="s">
        <v>154</v>
      </c>
      <c r="C10" s="10">
        <f>D10</f>
        <v>0.44919999999999999</v>
      </c>
      <c r="D10" s="10">
        <f>EC!D10</f>
        <v>0.44919999999999999</v>
      </c>
      <c r="E10" s="9">
        <f>ARR!W10</f>
        <v>161.59202108179741</v>
      </c>
      <c r="F10" s="9">
        <f>'O&amp;M (Summary)'!W10</f>
        <v>1.3491441049999999</v>
      </c>
      <c r="G10" s="9">
        <f t="shared" si="0"/>
        <v>160.24287697679742</v>
      </c>
      <c r="H10" s="9">
        <f t="shared" si="1"/>
        <v>0</v>
      </c>
      <c r="I10" s="97">
        <f t="shared" si="2"/>
        <v>160.24287697679742</v>
      </c>
      <c r="J10" s="97">
        <f t="shared" si="3"/>
        <v>161.59202108179741</v>
      </c>
    </row>
    <row r="11" spans="2:10" x14ac:dyDescent="0.35">
      <c r="B11" s="7" t="s">
        <v>155</v>
      </c>
      <c r="C11" s="10">
        <f>EC!C11</f>
        <v>0.85</v>
      </c>
      <c r="D11" s="10">
        <f>EC!D11</f>
        <v>0.81869999999999998</v>
      </c>
      <c r="E11" s="9">
        <f>ARR!W11</f>
        <v>556.34867657450172</v>
      </c>
      <c r="F11" s="9">
        <f>'O&amp;M (Summary)'!W11</f>
        <v>3.0277278289999998</v>
      </c>
      <c r="G11" s="9">
        <f t="shared" si="0"/>
        <v>553.32094874550171</v>
      </c>
      <c r="H11" s="9">
        <f t="shared" si="1"/>
        <v>20.37523023027552</v>
      </c>
      <c r="I11" s="97">
        <f t="shared" si="2"/>
        <v>532.94571851522619</v>
      </c>
      <c r="J11" s="97">
        <f t="shared" si="3"/>
        <v>535.9734463442262</v>
      </c>
    </row>
    <row r="12" spans="2:10" x14ac:dyDescent="0.35">
      <c r="B12" s="7" t="s">
        <v>156</v>
      </c>
      <c r="C12" s="10">
        <f>EC!C12</f>
        <v>0.85</v>
      </c>
      <c r="D12" s="10">
        <f>EC!D12</f>
        <v>0.78590000000000004</v>
      </c>
      <c r="E12" s="9">
        <f>ARR!W12</f>
        <v>535.28409191256685</v>
      </c>
      <c r="F12" s="9">
        <f>'O&amp;M (Summary)'!W12</f>
        <v>17.276308429828998</v>
      </c>
      <c r="G12" s="9">
        <f t="shared" si="0"/>
        <v>518.00778348273786</v>
      </c>
      <c r="H12" s="9">
        <f t="shared" si="1"/>
        <v>39.063881083815829</v>
      </c>
      <c r="I12" s="97">
        <f t="shared" si="2"/>
        <v>478.94390239892203</v>
      </c>
      <c r="J12" s="97">
        <f t="shared" si="3"/>
        <v>496.22021082875102</v>
      </c>
    </row>
    <row r="13" spans="2:10" x14ac:dyDescent="0.35">
      <c r="B13" s="7" t="s">
        <v>8</v>
      </c>
      <c r="C13" s="10">
        <f>EC!C13</f>
        <v>0.85</v>
      </c>
      <c r="D13" s="10">
        <f>EC!D13</f>
        <v>0.81869999999999998</v>
      </c>
      <c r="E13" s="9">
        <f>ARR!W13</f>
        <v>544.5027346677158</v>
      </c>
      <c r="F13" s="9">
        <f>'O&amp;M (Summary)'!W13</f>
        <v>3.3806996397571041</v>
      </c>
      <c r="G13" s="9">
        <f t="shared" si="0"/>
        <v>541.12203502795865</v>
      </c>
      <c r="H13" s="9">
        <f t="shared" si="1"/>
        <v>19.926023172205987</v>
      </c>
      <c r="I13" s="97">
        <f t="shared" si="2"/>
        <v>521.19601185575266</v>
      </c>
      <c r="J13" s="97">
        <f t="shared" si="3"/>
        <v>524.57671149550981</v>
      </c>
    </row>
    <row r="14" spans="2:10" x14ac:dyDescent="0.35">
      <c r="B14" s="7" t="s">
        <v>157</v>
      </c>
      <c r="C14" s="10">
        <f>EC!C14</f>
        <v>0.85</v>
      </c>
      <c r="D14" s="10">
        <f>EC!D14</f>
        <v>0.83720000000000006</v>
      </c>
      <c r="E14" s="9">
        <f>ARR!W14</f>
        <v>1127.9542011538779</v>
      </c>
      <c r="F14" s="9">
        <f>'O&amp;M (Summary)'!W14</f>
        <v>7.3020264903015848</v>
      </c>
      <c r="G14" s="9">
        <f t="shared" si="0"/>
        <v>1120.6521746635763</v>
      </c>
      <c r="H14" s="9">
        <f t="shared" si="1"/>
        <v>16.875703336110291</v>
      </c>
      <c r="I14" s="97">
        <f t="shared" si="2"/>
        <v>1103.776471327466</v>
      </c>
      <c r="J14" s="97">
        <f t="shared" si="3"/>
        <v>1111.0784978177676</v>
      </c>
    </row>
    <row r="15" spans="2:10" x14ac:dyDescent="0.35">
      <c r="B15" s="7" t="s">
        <v>158</v>
      </c>
      <c r="C15" s="10">
        <f>EC!C15</f>
        <v>0.85</v>
      </c>
      <c r="D15" s="10">
        <f>EC!D15</f>
        <v>0.53759999999999997</v>
      </c>
      <c r="E15" s="9">
        <f>ARR!W15</f>
        <v>2343.4582254552415</v>
      </c>
      <c r="F15" s="9">
        <f>'O&amp;M (Summary)'!W15</f>
        <v>32.467383931999997</v>
      </c>
      <c r="G15" s="9">
        <f t="shared" si="0"/>
        <v>2310.9908415232417</v>
      </c>
      <c r="H15" s="9">
        <f t="shared" si="1"/>
        <v>849.35710457865957</v>
      </c>
      <c r="I15" s="97">
        <f t="shared" si="2"/>
        <v>1461.6337369445821</v>
      </c>
      <c r="J15" s="97">
        <f t="shared" si="3"/>
        <v>1494.1011208765822</v>
      </c>
    </row>
    <row r="16" spans="2:10" x14ac:dyDescent="0.35">
      <c r="B16" s="7" t="s">
        <v>159</v>
      </c>
      <c r="C16" s="10">
        <f>EC!C16</f>
        <v>0.85</v>
      </c>
      <c r="D16" s="10">
        <f>EC!D16</f>
        <v>0.82089999999999996</v>
      </c>
      <c r="E16" s="9">
        <f>ARR!W16</f>
        <v>1179.7976933842954</v>
      </c>
      <c r="F16" s="9">
        <f>'O&amp;M (Summary)'!W16</f>
        <v>1.455743058080599</v>
      </c>
      <c r="G16" s="9">
        <f t="shared" si="0"/>
        <v>1178.3419503262148</v>
      </c>
      <c r="H16" s="9">
        <f t="shared" si="1"/>
        <v>40.340883240579842</v>
      </c>
      <c r="I16" s="97">
        <f t="shared" si="2"/>
        <v>1138.001067085635</v>
      </c>
      <c r="J16" s="97">
        <f t="shared" si="3"/>
        <v>1139.4568101437155</v>
      </c>
    </row>
    <row r="17" spans="2:36" x14ac:dyDescent="0.35">
      <c r="B17" s="7" t="s">
        <v>160</v>
      </c>
      <c r="C17" s="10">
        <f>EC!C17</f>
        <v>0.85</v>
      </c>
      <c r="D17" s="10">
        <f>EC!D17</f>
        <v>0.67479999999999996</v>
      </c>
      <c r="E17" s="9">
        <f>ARR!W17</f>
        <v>378.31602270770946</v>
      </c>
      <c r="F17" s="9">
        <f>'O&amp;M (Summary)'!W17</f>
        <v>6.7605142861709933</v>
      </c>
      <c r="G17" s="9">
        <f t="shared" si="0"/>
        <v>371.55550842153849</v>
      </c>
      <c r="H17" s="9">
        <f t="shared" si="1"/>
        <v>76.584147147592375</v>
      </c>
      <c r="I17" s="97">
        <f t="shared" si="2"/>
        <v>294.97136127394612</v>
      </c>
      <c r="J17" s="97">
        <f t="shared" si="3"/>
        <v>301.73187556011709</v>
      </c>
    </row>
    <row r="18" spans="2:36" x14ac:dyDescent="0.35">
      <c r="B18" s="12" t="s">
        <v>27</v>
      </c>
      <c r="C18" s="7"/>
      <c r="D18" s="7"/>
      <c r="E18" s="13">
        <f>SUM(E5:E17)</f>
        <v>9064.0964427735435</v>
      </c>
      <c r="F18" s="13">
        <f t="shared" ref="F18:J18" si="4">SUM(F5:F17)</f>
        <v>128.29793368199998</v>
      </c>
      <c r="G18" s="13">
        <f t="shared" si="4"/>
        <v>8935.7985090915445</v>
      </c>
      <c r="H18" s="13">
        <f t="shared" si="4"/>
        <v>1348.9811348709377</v>
      </c>
      <c r="I18" s="13">
        <f t="shared" si="4"/>
        <v>7586.8173742206063</v>
      </c>
      <c r="J18" s="13">
        <f t="shared" si="4"/>
        <v>7715.1153079026062</v>
      </c>
    </row>
    <row r="20" spans="2:36" x14ac:dyDescent="0.35">
      <c r="B20" s="3" t="s">
        <v>390</v>
      </c>
    </row>
    <row r="21" spans="2:36" ht="31.5" customHeight="1" x14ac:dyDescent="0.35">
      <c r="B21" s="150" t="s">
        <v>170</v>
      </c>
      <c r="C21" s="6" t="s">
        <v>29</v>
      </c>
      <c r="D21" s="6" t="s">
        <v>28</v>
      </c>
      <c r="E21" s="96" t="s">
        <v>384</v>
      </c>
      <c r="F21" s="96" t="s">
        <v>385</v>
      </c>
      <c r="G21" s="96" t="s">
        <v>386</v>
      </c>
      <c r="H21" s="96" t="s">
        <v>387</v>
      </c>
      <c r="I21" s="96" t="s">
        <v>388</v>
      </c>
      <c r="J21" s="96" t="s">
        <v>389</v>
      </c>
      <c r="L21" s="187" t="s">
        <v>391</v>
      </c>
      <c r="M21" s="187"/>
      <c r="N21" s="187"/>
      <c r="O21" s="187"/>
      <c r="P21" s="187" t="s">
        <v>392</v>
      </c>
      <c r="Q21" s="187"/>
      <c r="R21" s="187"/>
      <c r="S21" s="187"/>
      <c r="T21" s="192" t="s">
        <v>393</v>
      </c>
      <c r="U21" s="192"/>
      <c r="V21" s="192"/>
      <c r="W21" s="192"/>
      <c r="X21" s="192" t="s">
        <v>394</v>
      </c>
      <c r="Y21" s="192"/>
      <c r="Z21" s="192"/>
      <c r="AA21" s="192"/>
      <c r="AB21" s="192" t="s">
        <v>395</v>
      </c>
      <c r="AC21" s="192"/>
      <c r="AD21" s="192"/>
      <c r="AE21" s="192"/>
      <c r="AF21" s="192" t="s">
        <v>396</v>
      </c>
      <c r="AG21" s="192"/>
      <c r="AH21" s="192"/>
      <c r="AI21" s="192"/>
      <c r="AJ21" s="96" t="s">
        <v>387</v>
      </c>
    </row>
    <row r="22" spans="2:36" ht="30" x14ac:dyDescent="0.35">
      <c r="B22" s="151"/>
      <c r="C22" s="6" t="s">
        <v>16</v>
      </c>
      <c r="D22" s="6" t="s">
        <v>16</v>
      </c>
      <c r="E22" s="6" t="s">
        <v>14</v>
      </c>
      <c r="F22" s="6" t="s">
        <v>14</v>
      </c>
      <c r="G22" s="6" t="s">
        <v>14</v>
      </c>
      <c r="H22" s="6" t="s">
        <v>14</v>
      </c>
      <c r="I22" s="6" t="s">
        <v>14</v>
      </c>
      <c r="J22" s="6" t="s">
        <v>14</v>
      </c>
      <c r="L22" s="96" t="s">
        <v>397</v>
      </c>
      <c r="M22" s="96" t="s">
        <v>398</v>
      </c>
      <c r="N22" s="96" t="s">
        <v>399</v>
      </c>
      <c r="O22" s="96" t="s">
        <v>400</v>
      </c>
      <c r="P22" s="96" t="s">
        <v>397</v>
      </c>
      <c r="Q22" s="96" t="s">
        <v>398</v>
      </c>
      <c r="R22" s="96" t="s">
        <v>399</v>
      </c>
      <c r="S22" s="96" t="s">
        <v>400</v>
      </c>
      <c r="T22" s="96" t="s">
        <v>397</v>
      </c>
      <c r="U22" s="96" t="s">
        <v>398</v>
      </c>
      <c r="V22" s="96" t="s">
        <v>399</v>
      </c>
      <c r="W22" s="96" t="s">
        <v>400</v>
      </c>
      <c r="X22" s="96" t="s">
        <v>397</v>
      </c>
      <c r="Y22" s="96" t="s">
        <v>398</v>
      </c>
      <c r="Z22" s="96" t="s">
        <v>399</v>
      </c>
      <c r="AA22" s="96" t="s">
        <v>400</v>
      </c>
      <c r="AB22" s="96" t="s">
        <v>397</v>
      </c>
      <c r="AC22" s="96" t="s">
        <v>398</v>
      </c>
      <c r="AD22" s="96" t="s">
        <v>399</v>
      </c>
      <c r="AE22" s="96" t="s">
        <v>400</v>
      </c>
      <c r="AF22" s="96" t="s">
        <v>397</v>
      </c>
      <c r="AG22" s="96" t="s">
        <v>398</v>
      </c>
      <c r="AH22" s="96" t="s">
        <v>399</v>
      </c>
      <c r="AI22" s="96" t="s">
        <v>400</v>
      </c>
      <c r="AJ22" s="6" t="s">
        <v>14</v>
      </c>
    </row>
    <row r="23" spans="2:36" x14ac:dyDescent="0.35">
      <c r="B23" s="7" t="s">
        <v>43</v>
      </c>
      <c r="C23" s="10">
        <f>EC!C23</f>
        <v>0.8</v>
      </c>
      <c r="D23" s="10">
        <f>EC!D23</f>
        <v>0.97107167092822444</v>
      </c>
      <c r="E23" s="9">
        <f>ARR!W24</f>
        <v>137.19826981719928</v>
      </c>
      <c r="F23" s="9">
        <f>'O&amp;M (Summary)'!W24</f>
        <v>8.4999999999999982</v>
      </c>
      <c r="G23" s="9">
        <f>E23-F23</f>
        <v>128.69826981719928</v>
      </c>
      <c r="H23" s="9">
        <f>AJ23</f>
        <v>0</v>
      </c>
      <c r="I23" s="97">
        <f>G23-H23</f>
        <v>128.69826981719928</v>
      </c>
      <c r="J23" s="97">
        <f>I23+F23</f>
        <v>137.19826981719928</v>
      </c>
      <c r="L23" s="115">
        <v>0.99470000000000003</v>
      </c>
      <c r="M23" s="115">
        <v>0.99470000000000003</v>
      </c>
      <c r="N23" s="115">
        <v>0.96309999999999996</v>
      </c>
      <c r="O23" s="115">
        <v>0.96319999999999995</v>
      </c>
      <c r="P23" s="97">
        <f>G23*1/4*20%</f>
        <v>6.4349134908599641</v>
      </c>
      <c r="Q23" s="97">
        <f>G23*1/4*80%</f>
        <v>25.739653963439856</v>
      </c>
      <c r="R23" s="97">
        <f>G23*3/4*20%</f>
        <v>19.304740472579894</v>
      </c>
      <c r="S23" s="97">
        <f>G23*3/4*80%</f>
        <v>77.218961890319576</v>
      </c>
      <c r="T23" s="9">
        <f t="shared" ref="T23:W27" si="5">MIN(L23/$C23,1)*P23</f>
        <v>6.4349134908599641</v>
      </c>
      <c r="U23" s="9">
        <f t="shared" si="5"/>
        <v>25.739653963439856</v>
      </c>
      <c r="V23" s="9">
        <f t="shared" si="5"/>
        <v>19.304740472579894</v>
      </c>
      <c r="W23" s="9">
        <f t="shared" si="5"/>
        <v>77.218961890319576</v>
      </c>
      <c r="X23" s="9"/>
      <c r="Y23" s="9">
        <f>U23-Q23</f>
        <v>0</v>
      </c>
      <c r="Z23" s="9"/>
      <c r="AA23" s="9">
        <f>W23-S23</f>
        <v>0</v>
      </c>
      <c r="AB23" s="9">
        <f>(L23/$C23)*P23-T23</f>
        <v>1.5660970708380439</v>
      </c>
      <c r="AC23" s="9"/>
      <c r="AD23" s="9">
        <f>(N23/$C23)*R23-V23</f>
        <v>3.9357539638472225</v>
      </c>
      <c r="AE23" s="9"/>
      <c r="AF23" s="9"/>
      <c r="AG23" s="9">
        <f>IF(Y23&lt;0,MIN(AB23,-Y23),0)</f>
        <v>0</v>
      </c>
      <c r="AH23" s="9"/>
      <c r="AI23" s="9">
        <f>IF(AA23&lt;0,MIN(AD23,-AA23),0)</f>
        <v>0</v>
      </c>
      <c r="AJ23" s="9">
        <f>SUM(P23:S23)-SUM(T23:W23)+SUM(AF23:AI23)</f>
        <v>0</v>
      </c>
    </row>
    <row r="24" spans="2:36" x14ac:dyDescent="0.35">
      <c r="B24" s="7" t="s">
        <v>150</v>
      </c>
      <c r="C24" s="10">
        <f>EC!C24</f>
        <v>0.8</v>
      </c>
      <c r="D24" s="10">
        <f>EC!D24</f>
        <v>0.65640510866606816</v>
      </c>
      <c r="E24" s="9">
        <f>ARR!W25</f>
        <v>908.01830514656172</v>
      </c>
      <c r="F24" s="9">
        <f>'O&amp;M (Summary)'!W25</f>
        <v>11.090000000000002</v>
      </c>
      <c r="G24" s="9">
        <f t="shared" ref="G24:G35" si="6">E24-F24</f>
        <v>896.92830514656168</v>
      </c>
      <c r="H24" s="9">
        <f t="shared" ref="H24:H35" si="7">AJ24</f>
        <v>161.02665978334369</v>
      </c>
      <c r="I24" s="97">
        <f t="shared" ref="I24:I35" si="8">G24-H24</f>
        <v>735.90164536321799</v>
      </c>
      <c r="J24" s="97">
        <f t="shared" ref="J24:J35" si="9">I24+F24</f>
        <v>746.99164536321803</v>
      </c>
      <c r="L24" s="115">
        <v>0.74460000000000004</v>
      </c>
      <c r="M24" s="115">
        <v>0.74319999999999997</v>
      </c>
      <c r="N24" s="115">
        <v>0.62590000000000001</v>
      </c>
      <c r="O24" s="115">
        <v>0.62770000000000004</v>
      </c>
      <c r="P24" s="97">
        <f>G24*1/4*20%</f>
        <v>44.84641525732809</v>
      </c>
      <c r="Q24" s="97">
        <f>G24*1/4*80%</f>
        <v>179.38566102931236</v>
      </c>
      <c r="R24" s="97">
        <f>G24*3/4*20%</f>
        <v>134.53924577198424</v>
      </c>
      <c r="S24" s="97">
        <f>G24*3/4*80%</f>
        <v>538.15698308793696</v>
      </c>
      <c r="T24" s="9">
        <f t="shared" si="5"/>
        <v>41.740801000758118</v>
      </c>
      <c r="U24" s="9">
        <f t="shared" si="5"/>
        <v>166.64927909623117</v>
      </c>
      <c r="V24" s="9">
        <f t="shared" si="5"/>
        <v>105.26014241085616</v>
      </c>
      <c r="W24" s="9">
        <f t="shared" si="5"/>
        <v>422.25142285537254</v>
      </c>
      <c r="X24" s="9"/>
      <c r="Y24" s="9">
        <f>U24-Q24</f>
        <v>-12.736381933081191</v>
      </c>
      <c r="Z24" s="9"/>
      <c r="AA24" s="9">
        <f>W24-S24</f>
        <v>-115.90556023256443</v>
      </c>
      <c r="AB24" s="9">
        <f>(L24/$C24)*P24-T24</f>
        <v>0</v>
      </c>
      <c r="AC24" s="9"/>
      <c r="AD24" s="9">
        <f>(N24/$C24)*R24-V24</f>
        <v>0</v>
      </c>
      <c r="AE24" s="9"/>
      <c r="AF24" s="9"/>
      <c r="AG24" s="9">
        <f>IF(Y24&lt;0,MIN(AB24,-Y24),0)</f>
        <v>0</v>
      </c>
      <c r="AH24" s="9"/>
      <c r="AI24" s="9">
        <f>IF(AA24&lt;0,MIN(AD24,-AA24),0)</f>
        <v>0</v>
      </c>
      <c r="AJ24" s="9">
        <f>SUM(P24:S24)-SUM(T24:W24)+SUM(AF24:AI24)</f>
        <v>161.02665978334369</v>
      </c>
    </row>
    <row r="25" spans="2:36" x14ac:dyDescent="0.35">
      <c r="B25" s="7" t="s">
        <v>151</v>
      </c>
      <c r="C25" s="10">
        <f>EC!C25</f>
        <v>0.85</v>
      </c>
      <c r="D25" s="10">
        <f>EC!D25</f>
        <v>0.75791047770979547</v>
      </c>
      <c r="E25" s="9">
        <f>ARR!W26</f>
        <v>570.55278097892688</v>
      </c>
      <c r="F25" s="9">
        <f>'O&amp;M (Summary)'!W26</f>
        <v>55.75</v>
      </c>
      <c r="G25" s="9">
        <f t="shared" si="6"/>
        <v>514.80278097892688</v>
      </c>
      <c r="H25" s="9">
        <f t="shared" si="7"/>
        <v>56.943244079574924</v>
      </c>
      <c r="I25" s="97">
        <f t="shared" si="8"/>
        <v>457.85953689935195</v>
      </c>
      <c r="J25" s="97">
        <f t="shared" si="9"/>
        <v>513.60953689935195</v>
      </c>
      <c r="L25" s="115">
        <v>0.874</v>
      </c>
      <c r="M25" s="115">
        <v>0.8548</v>
      </c>
      <c r="N25" s="115">
        <v>0.72760000000000002</v>
      </c>
      <c r="O25" s="115">
        <v>0.72389999999999999</v>
      </c>
      <c r="P25" s="97">
        <f>G25*1/4*20%</f>
        <v>25.740139048946347</v>
      </c>
      <c r="Q25" s="97">
        <f>G25*1/4*80%</f>
        <v>102.96055619578539</v>
      </c>
      <c r="R25" s="97">
        <f>G25*3/4*20%</f>
        <v>77.22041714683904</v>
      </c>
      <c r="S25" s="97">
        <f>G25*3/4*80%</f>
        <v>308.88166858735616</v>
      </c>
      <c r="T25" s="9">
        <f t="shared" si="5"/>
        <v>25.740139048946347</v>
      </c>
      <c r="U25" s="9">
        <f t="shared" si="5"/>
        <v>102.96055619578539</v>
      </c>
      <c r="V25" s="9">
        <f t="shared" si="5"/>
        <v>66.100677077694229</v>
      </c>
      <c r="W25" s="9">
        <f t="shared" si="5"/>
        <v>263.058164576926</v>
      </c>
      <c r="X25" s="9"/>
      <c r="Y25" s="9">
        <f>U25-Q25</f>
        <v>0</v>
      </c>
      <c r="Z25" s="9"/>
      <c r="AA25" s="9">
        <f>W25-S25</f>
        <v>-45.823504010430156</v>
      </c>
      <c r="AB25" s="9">
        <f>(L25/$C25)*P25-T25</f>
        <v>0.72678039667613348</v>
      </c>
      <c r="AC25" s="9"/>
      <c r="AD25" s="9">
        <f>(N25/$C25)*R25-V25</f>
        <v>0</v>
      </c>
      <c r="AE25" s="9"/>
      <c r="AF25" s="9"/>
      <c r="AG25" s="9">
        <f>IF(Y25&lt;0,MIN(AB25,-Y25),0)</f>
        <v>0</v>
      </c>
      <c r="AH25" s="9"/>
      <c r="AI25" s="9">
        <f>IF(AA25&lt;0,MIN(AD25,-AA25),0)</f>
        <v>0</v>
      </c>
      <c r="AJ25" s="9">
        <f>SUM(P25:S25)-SUM(T25:W25)+SUM(AF25:AI25)</f>
        <v>56.943244079574924</v>
      </c>
    </row>
    <row r="26" spans="2:36" x14ac:dyDescent="0.35">
      <c r="B26" s="7" t="s">
        <v>44</v>
      </c>
      <c r="C26" s="10">
        <f>EC!C26</f>
        <v>0.72</v>
      </c>
      <c r="D26" s="10">
        <f>EC!D26</f>
        <v>0.76726002601338994</v>
      </c>
      <c r="E26" s="9">
        <f>ARR!W27</f>
        <v>344.0586724607731</v>
      </c>
      <c r="F26" s="9">
        <f>'O&amp;M (Summary)'!W27</f>
        <v>29.67</v>
      </c>
      <c r="G26" s="9">
        <f t="shared" si="6"/>
        <v>314.38867246077308</v>
      </c>
      <c r="H26" s="9">
        <f t="shared" si="7"/>
        <v>0</v>
      </c>
      <c r="I26" s="97">
        <f t="shared" si="8"/>
        <v>314.38867246077308</v>
      </c>
      <c r="J26" s="97">
        <f t="shared" si="9"/>
        <v>344.0586724607731</v>
      </c>
      <c r="L26" s="115">
        <v>0.79279999999999995</v>
      </c>
      <c r="M26" s="115">
        <v>0.79279999999999995</v>
      </c>
      <c r="N26" s="115">
        <v>0.75580000000000003</v>
      </c>
      <c r="O26" s="115">
        <v>0.75929999999999997</v>
      </c>
      <c r="P26" s="97">
        <f>G26*1/4*20%</f>
        <v>15.719433623038654</v>
      </c>
      <c r="Q26" s="97">
        <f>G26*1/4*80%</f>
        <v>62.877734492154616</v>
      </c>
      <c r="R26" s="97">
        <f>G26*3/4*20%</f>
        <v>47.158300869115969</v>
      </c>
      <c r="S26" s="97">
        <f>G26*3/4*80%</f>
        <v>188.63320347646388</v>
      </c>
      <c r="T26" s="9">
        <f t="shared" si="5"/>
        <v>15.719433623038654</v>
      </c>
      <c r="U26" s="9">
        <f t="shared" si="5"/>
        <v>62.877734492154616</v>
      </c>
      <c r="V26" s="9">
        <f t="shared" si="5"/>
        <v>47.158300869115969</v>
      </c>
      <c r="W26" s="9">
        <f t="shared" si="5"/>
        <v>188.63320347646388</v>
      </c>
      <c r="X26" s="9"/>
      <c r="Y26" s="9">
        <f>U26-Q26</f>
        <v>0</v>
      </c>
      <c r="Z26" s="9"/>
      <c r="AA26" s="9">
        <f>W26-S26</f>
        <v>0</v>
      </c>
      <c r="AB26" s="9">
        <f>(L26/$C26)*P26-T26</f>
        <v>1.5894093996627987</v>
      </c>
      <c r="AC26" s="9"/>
      <c r="AD26" s="9">
        <f>(N26/$C26)*R26-V26</f>
        <v>2.3448155154366006</v>
      </c>
      <c r="AE26" s="9"/>
      <c r="AF26" s="9"/>
      <c r="AG26" s="9">
        <f>IF(Y26&lt;0,MIN(AB26,-Y26),0)</f>
        <v>0</v>
      </c>
      <c r="AH26" s="9"/>
      <c r="AI26" s="9">
        <f>IF(AA26&lt;0,MIN(AD26,-AA26),0)</f>
        <v>0</v>
      </c>
      <c r="AJ26" s="9">
        <f>SUM(P26:S26)-SUM(T26:W26)+SUM(AF26:AI26)</f>
        <v>0</v>
      </c>
    </row>
    <row r="27" spans="2:36" x14ac:dyDescent="0.35">
      <c r="B27" s="7" t="s">
        <v>152</v>
      </c>
      <c r="C27" s="10">
        <f>EC!C27</f>
        <v>0.8</v>
      </c>
      <c r="D27" s="10">
        <f>EC!D27</f>
        <v>0.95021630273332891</v>
      </c>
      <c r="E27" s="9">
        <f>ARR!W28</f>
        <v>372.4180828884792</v>
      </c>
      <c r="F27" s="9">
        <f>'O&amp;M (Summary)'!W28</f>
        <v>20.010000000000002</v>
      </c>
      <c r="G27" s="9">
        <f t="shared" si="6"/>
        <v>352.40808288847921</v>
      </c>
      <c r="H27" s="9">
        <f t="shared" si="7"/>
        <v>0</v>
      </c>
      <c r="I27" s="97">
        <f t="shared" si="8"/>
        <v>352.40808288847921</v>
      </c>
      <c r="J27" s="97">
        <f t="shared" si="9"/>
        <v>372.4180828884792</v>
      </c>
      <c r="L27" s="115">
        <v>0.96319999999999995</v>
      </c>
      <c r="M27" s="115">
        <v>0.96379999999999999</v>
      </c>
      <c r="N27" s="115">
        <v>0.94499999999999995</v>
      </c>
      <c r="O27" s="115">
        <v>0.94589999999999996</v>
      </c>
      <c r="P27" s="97">
        <f>G27*1/4*20%</f>
        <v>17.620404144423961</v>
      </c>
      <c r="Q27" s="97">
        <f>G27*1/4*80%</f>
        <v>70.481616577695846</v>
      </c>
      <c r="R27" s="97">
        <f>G27*3/4*20%</f>
        <v>52.861212433271888</v>
      </c>
      <c r="S27" s="97">
        <f>G27*3/4*80%</f>
        <v>211.44484973308755</v>
      </c>
      <c r="T27" s="9">
        <f t="shared" si="5"/>
        <v>17.620404144423961</v>
      </c>
      <c r="U27" s="9">
        <f t="shared" si="5"/>
        <v>70.481616577695846</v>
      </c>
      <c r="V27" s="9">
        <f t="shared" si="5"/>
        <v>52.861212433271888</v>
      </c>
      <c r="W27" s="9">
        <f t="shared" si="5"/>
        <v>211.44484973308755</v>
      </c>
      <c r="X27" s="9"/>
      <c r="Y27" s="9">
        <f>U27-Q27</f>
        <v>0</v>
      </c>
      <c r="Z27" s="9"/>
      <c r="AA27" s="9">
        <f>W27-S27</f>
        <v>0</v>
      </c>
      <c r="AB27" s="9">
        <f>(L27/$C27)*P27-T27</f>
        <v>3.5945624454624863</v>
      </c>
      <c r="AC27" s="9"/>
      <c r="AD27" s="9">
        <f>(N27/$C27)*R27-V27</f>
        <v>9.5810947535305218</v>
      </c>
      <c r="AE27" s="9"/>
      <c r="AF27" s="9"/>
      <c r="AG27" s="9">
        <f>IF(Y27&lt;0,MIN(AB27,-Y27),0)</f>
        <v>0</v>
      </c>
      <c r="AH27" s="9"/>
      <c r="AI27" s="9">
        <f>IF(AA27&lt;0,MIN(AD27,-AA27),0)</f>
        <v>0</v>
      </c>
      <c r="AJ27" s="9">
        <f>SUM(P27:S27)-SUM(T27:W27)+SUM(AF27:AI27)</f>
        <v>0</v>
      </c>
    </row>
    <row r="28" spans="2:36" x14ac:dyDescent="0.35">
      <c r="B28" s="7" t="s">
        <v>154</v>
      </c>
      <c r="C28" s="10">
        <f>D28</f>
        <v>0.34387392751853113</v>
      </c>
      <c r="D28" s="10">
        <f>EC!D28</f>
        <v>0.34387392751853113</v>
      </c>
      <c r="E28" s="9">
        <f>ARR!W29</f>
        <v>161.07195181667214</v>
      </c>
      <c r="F28" s="9">
        <f>'O&amp;M (Summary)'!W29</f>
        <v>1.19</v>
      </c>
      <c r="G28" s="9">
        <f t="shared" si="6"/>
        <v>159.88195181667214</v>
      </c>
      <c r="H28" s="9">
        <f t="shared" si="7"/>
        <v>0</v>
      </c>
      <c r="I28" s="97">
        <f t="shared" si="8"/>
        <v>159.88195181667214</v>
      </c>
      <c r="J28" s="97">
        <f t="shared" si="9"/>
        <v>161.07195181667214</v>
      </c>
      <c r="L28" s="115"/>
      <c r="M28" s="115"/>
      <c r="N28" s="115"/>
      <c r="O28" s="115"/>
      <c r="P28" s="97"/>
      <c r="Q28" s="97"/>
      <c r="R28" s="97"/>
      <c r="S28" s="97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2:36" x14ac:dyDescent="0.35">
      <c r="B29" s="7" t="s">
        <v>155</v>
      </c>
      <c r="C29" s="10">
        <f>EC!C29</f>
        <v>0.85</v>
      </c>
      <c r="D29" s="10">
        <f>EC!D29</f>
        <v>0.82955447828261375</v>
      </c>
      <c r="E29" s="9">
        <f>ARR!W30</f>
        <v>539.1653603131648</v>
      </c>
      <c r="F29" s="9">
        <f>'O&amp;M (Summary)'!W30</f>
        <v>5.330000000000001</v>
      </c>
      <c r="G29" s="9">
        <f t="shared" si="6"/>
        <v>533.83536031316476</v>
      </c>
      <c r="H29" s="9">
        <f t="shared" si="7"/>
        <v>15.082419032847838</v>
      </c>
      <c r="I29" s="97">
        <f t="shared" si="8"/>
        <v>518.75294128031692</v>
      </c>
      <c r="J29" s="97">
        <f t="shared" si="9"/>
        <v>524.08294128031696</v>
      </c>
      <c r="L29" s="115">
        <v>0.85980000000000001</v>
      </c>
      <c r="M29" s="115">
        <v>0.86360000000000003</v>
      </c>
      <c r="N29" s="115">
        <v>0.80789999999999995</v>
      </c>
      <c r="O29" s="115">
        <v>0.82050000000000001</v>
      </c>
      <c r="P29" s="97">
        <f t="shared" ref="P29:P35" si="10">G29*1/4*20%</f>
        <v>26.691768015658241</v>
      </c>
      <c r="Q29" s="97">
        <f t="shared" ref="Q29:Q35" si="11">G29*1/4*80%</f>
        <v>106.76707206263296</v>
      </c>
      <c r="R29" s="97">
        <f t="shared" ref="R29:R35" si="12">G29*3/4*20%</f>
        <v>80.075304046974722</v>
      </c>
      <c r="S29" s="97">
        <f t="shared" ref="S29:S35" si="13">G29*3/4*80%</f>
        <v>320.30121618789889</v>
      </c>
      <c r="T29" s="9">
        <f t="shared" ref="T29:W35" si="14">MIN(L29/$C29,1)*P29</f>
        <v>26.691768015658241</v>
      </c>
      <c r="U29" s="9">
        <f t="shared" si="14"/>
        <v>106.76707206263296</v>
      </c>
      <c r="V29" s="9">
        <f t="shared" si="14"/>
        <v>76.109221340648091</v>
      </c>
      <c r="W29" s="9">
        <f t="shared" si="14"/>
        <v>309.18487986137768</v>
      </c>
      <c r="X29" s="9"/>
      <c r="Y29" s="9">
        <f t="shared" ref="Y29:Y35" si="15">U29-Q29</f>
        <v>0</v>
      </c>
      <c r="Z29" s="9"/>
      <c r="AA29" s="9">
        <f t="shared" ref="AA29:AA35" si="16">W29-S29</f>
        <v>-11.116336326521207</v>
      </c>
      <c r="AB29" s="9">
        <f t="shared" ref="AB29:AB35" si="17">(L29/$C29)*P29-T29</f>
        <v>0.30774038418053351</v>
      </c>
      <c r="AC29" s="9"/>
      <c r="AD29" s="9">
        <f t="shared" ref="AD29:AD35" si="18">(N29/$C29)*R29-V29</f>
        <v>0</v>
      </c>
      <c r="AE29" s="9"/>
      <c r="AF29" s="9"/>
      <c r="AG29" s="9">
        <f t="shared" ref="AG29:AG35" si="19">IF(Y29&lt;0,MIN(AB29,-Y29),0)</f>
        <v>0</v>
      </c>
      <c r="AH29" s="9"/>
      <c r="AI29" s="9">
        <f t="shared" ref="AI29:AI35" si="20">IF(AA29&lt;0,MIN(AD29,-AA29),0)</f>
        <v>0</v>
      </c>
      <c r="AJ29" s="9">
        <f t="shared" ref="AJ29:AJ35" si="21">SUM(P29:S29)-SUM(T29:W29)+SUM(AF29:AI29)</f>
        <v>15.082419032847838</v>
      </c>
    </row>
    <row r="30" spans="2:36" x14ac:dyDescent="0.35">
      <c r="B30" s="7" t="s">
        <v>156</v>
      </c>
      <c r="C30" s="10">
        <f>EC!C30</f>
        <v>0.85</v>
      </c>
      <c r="D30" s="10">
        <f>EC!D30</f>
        <v>0.97167205322851513</v>
      </c>
      <c r="E30" s="9">
        <f>ARR!W31</f>
        <v>511.43495631593294</v>
      </c>
      <c r="F30" s="9">
        <f>'O&amp;M (Summary)'!W31</f>
        <v>9.3099999999999987</v>
      </c>
      <c r="G30" s="9">
        <f t="shared" si="6"/>
        <v>502.12495631593293</v>
      </c>
      <c r="H30" s="9">
        <f t="shared" si="7"/>
        <v>0</v>
      </c>
      <c r="I30" s="97">
        <f t="shared" si="8"/>
        <v>502.12495631593293</v>
      </c>
      <c r="J30" s="97">
        <f t="shared" si="9"/>
        <v>511.43495631593294</v>
      </c>
      <c r="L30" s="115">
        <v>0.97689999999999999</v>
      </c>
      <c r="M30" s="115">
        <v>0.98560000000000003</v>
      </c>
      <c r="N30" s="115">
        <v>0.96860000000000002</v>
      </c>
      <c r="O30" s="115">
        <v>0.96730000000000005</v>
      </c>
      <c r="P30" s="97">
        <f t="shared" si="10"/>
        <v>25.10624781579665</v>
      </c>
      <c r="Q30" s="97">
        <f t="shared" si="11"/>
        <v>100.4249912631866</v>
      </c>
      <c r="R30" s="97">
        <f t="shared" si="12"/>
        <v>75.318743447389949</v>
      </c>
      <c r="S30" s="97">
        <f t="shared" si="13"/>
        <v>301.27497378955979</v>
      </c>
      <c r="T30" s="9">
        <f t="shared" si="14"/>
        <v>25.10624781579665</v>
      </c>
      <c r="U30" s="9">
        <f t="shared" si="14"/>
        <v>100.4249912631866</v>
      </c>
      <c r="V30" s="9">
        <f t="shared" si="14"/>
        <v>75.318743447389949</v>
      </c>
      <c r="W30" s="9">
        <f t="shared" si="14"/>
        <v>301.27497378955979</v>
      </c>
      <c r="X30" s="9"/>
      <c r="Y30" s="9">
        <f t="shared" si="15"/>
        <v>0</v>
      </c>
      <c r="Z30" s="9"/>
      <c r="AA30" s="9">
        <f t="shared" si="16"/>
        <v>0</v>
      </c>
      <c r="AB30" s="9">
        <f t="shared" si="17"/>
        <v>3.7482151150877563</v>
      </c>
      <c r="AC30" s="9"/>
      <c r="AD30" s="9">
        <f t="shared" si="18"/>
        <v>10.509179968071123</v>
      </c>
      <c r="AE30" s="9"/>
      <c r="AF30" s="9"/>
      <c r="AG30" s="9">
        <f t="shared" si="19"/>
        <v>0</v>
      </c>
      <c r="AH30" s="9"/>
      <c r="AI30" s="9">
        <f t="shared" si="20"/>
        <v>0</v>
      </c>
      <c r="AJ30" s="9">
        <f t="shared" si="21"/>
        <v>0</v>
      </c>
    </row>
    <row r="31" spans="2:36" x14ac:dyDescent="0.35">
      <c r="B31" s="7" t="s">
        <v>8</v>
      </c>
      <c r="C31" s="10">
        <f>EC!C31</f>
        <v>0.85</v>
      </c>
      <c r="D31" s="10">
        <f>EC!D31</f>
        <v>0.74082265678888426</v>
      </c>
      <c r="E31" s="9">
        <f>ARR!W32</f>
        <v>546.94470104676884</v>
      </c>
      <c r="F31" s="9">
        <f>'O&amp;M (Summary)'!W32</f>
        <v>23.15</v>
      </c>
      <c r="G31" s="9">
        <f t="shared" si="6"/>
        <v>523.79470104676886</v>
      </c>
      <c r="H31" s="9">
        <f t="shared" si="7"/>
        <v>67.054965169887225</v>
      </c>
      <c r="I31" s="97">
        <f t="shared" si="8"/>
        <v>456.73973587688164</v>
      </c>
      <c r="J31" s="97">
        <f t="shared" si="9"/>
        <v>479.88973587688162</v>
      </c>
      <c r="L31" s="115">
        <v>0.83899999999999997</v>
      </c>
      <c r="M31" s="115">
        <v>0.8246</v>
      </c>
      <c r="N31" s="115">
        <v>0.71970000000000001</v>
      </c>
      <c r="O31" s="115">
        <v>0.71060000000000001</v>
      </c>
      <c r="P31" s="97">
        <f t="shared" si="10"/>
        <v>26.189735052338445</v>
      </c>
      <c r="Q31" s="97">
        <f t="shared" si="11"/>
        <v>104.75894020935378</v>
      </c>
      <c r="R31" s="97">
        <f t="shared" si="12"/>
        <v>78.569205157015347</v>
      </c>
      <c r="S31" s="97">
        <f t="shared" si="13"/>
        <v>314.27682062806139</v>
      </c>
      <c r="T31" s="9">
        <f t="shared" si="14"/>
        <v>25.850809069308184</v>
      </c>
      <c r="U31" s="9">
        <f t="shared" si="14"/>
        <v>101.62849658427427</v>
      </c>
      <c r="V31" s="9">
        <f t="shared" si="14"/>
        <v>66.525008178239943</v>
      </c>
      <c r="W31" s="9">
        <f t="shared" si="14"/>
        <v>262.73542204505935</v>
      </c>
      <c r="X31" s="9"/>
      <c r="Y31" s="9">
        <f t="shared" si="15"/>
        <v>-3.1304436250795078</v>
      </c>
      <c r="Z31" s="9"/>
      <c r="AA31" s="9">
        <f t="shared" si="16"/>
        <v>-51.541398583002035</v>
      </c>
      <c r="AB31" s="9">
        <f t="shared" si="17"/>
        <v>0</v>
      </c>
      <c r="AC31" s="9"/>
      <c r="AD31" s="9">
        <f t="shared" si="18"/>
        <v>0</v>
      </c>
      <c r="AE31" s="9"/>
      <c r="AF31" s="9"/>
      <c r="AG31" s="9">
        <f t="shared" si="19"/>
        <v>0</v>
      </c>
      <c r="AH31" s="9"/>
      <c r="AI31" s="9">
        <f t="shared" si="20"/>
        <v>0</v>
      </c>
      <c r="AJ31" s="9">
        <f t="shared" si="21"/>
        <v>67.054965169887225</v>
      </c>
    </row>
    <row r="32" spans="2:36" x14ac:dyDescent="0.35">
      <c r="B32" s="7" t="s">
        <v>157</v>
      </c>
      <c r="C32" s="10">
        <f>EC!C32</f>
        <v>0.85</v>
      </c>
      <c r="D32" s="10">
        <f>EC!D32</f>
        <v>0.9250669189028532</v>
      </c>
      <c r="E32" s="9">
        <f>ARR!W33</f>
        <v>1082.6526338607002</v>
      </c>
      <c r="F32" s="9">
        <f>'O&amp;M (Summary)'!W33</f>
        <v>5.22</v>
      </c>
      <c r="G32" s="9">
        <f t="shared" si="6"/>
        <v>1077.4326338607002</v>
      </c>
      <c r="H32" s="9">
        <f t="shared" si="7"/>
        <v>0</v>
      </c>
      <c r="I32" s="97">
        <f t="shared" si="8"/>
        <v>1077.4326338607002</v>
      </c>
      <c r="J32" s="97">
        <f t="shared" si="9"/>
        <v>1082.6526338607002</v>
      </c>
      <c r="L32" s="115">
        <v>0.98199999999999998</v>
      </c>
      <c r="M32" s="115">
        <v>0.98550000000000004</v>
      </c>
      <c r="N32" s="115">
        <v>0.90810000000000002</v>
      </c>
      <c r="O32" s="115">
        <v>0.90449999999999997</v>
      </c>
      <c r="P32" s="97">
        <f t="shared" si="10"/>
        <v>53.871631693035013</v>
      </c>
      <c r="Q32" s="97">
        <f t="shared" si="11"/>
        <v>215.48652677214005</v>
      </c>
      <c r="R32" s="97">
        <f t="shared" si="12"/>
        <v>161.61489507910505</v>
      </c>
      <c r="S32" s="97">
        <f t="shared" si="13"/>
        <v>646.45958031642022</v>
      </c>
      <c r="T32" s="9">
        <f t="shared" si="14"/>
        <v>53.871631693035013</v>
      </c>
      <c r="U32" s="9">
        <f t="shared" si="14"/>
        <v>215.48652677214005</v>
      </c>
      <c r="V32" s="9">
        <f t="shared" si="14"/>
        <v>161.61489507910505</v>
      </c>
      <c r="W32" s="9">
        <f t="shared" si="14"/>
        <v>646.45958031642022</v>
      </c>
      <c r="X32" s="9"/>
      <c r="Y32" s="9">
        <f t="shared" si="15"/>
        <v>0</v>
      </c>
      <c r="Z32" s="9"/>
      <c r="AA32" s="9">
        <f t="shared" si="16"/>
        <v>0</v>
      </c>
      <c r="AB32" s="9">
        <f t="shared" si="17"/>
        <v>8.3659475099772038</v>
      </c>
      <c r="AC32" s="9"/>
      <c r="AD32" s="9">
        <f t="shared" si="18"/>
        <v>11.046853416583559</v>
      </c>
      <c r="AE32" s="9"/>
      <c r="AF32" s="9"/>
      <c r="AG32" s="9">
        <f t="shared" si="19"/>
        <v>0</v>
      </c>
      <c r="AH32" s="9"/>
      <c r="AI32" s="9">
        <f t="shared" si="20"/>
        <v>0</v>
      </c>
      <c r="AJ32" s="9">
        <f t="shared" si="21"/>
        <v>0</v>
      </c>
    </row>
    <row r="33" spans="2:36" x14ac:dyDescent="0.35">
      <c r="B33" s="7" t="s">
        <v>158</v>
      </c>
      <c r="C33" s="10">
        <f>EC!C33</f>
        <v>0.85</v>
      </c>
      <c r="D33" s="10">
        <f>EC!D33</f>
        <v>0.65782087874925665</v>
      </c>
      <c r="E33" s="9">
        <f>ARR!W34</f>
        <v>2328.2445915681037</v>
      </c>
      <c r="F33" s="9">
        <f>'O&amp;M (Summary)'!W34</f>
        <v>81.8</v>
      </c>
      <c r="G33" s="9">
        <f t="shared" si="6"/>
        <v>2246.4445915681035</v>
      </c>
      <c r="H33" s="9">
        <f t="shared" si="7"/>
        <v>507.70969207434155</v>
      </c>
      <c r="I33" s="97">
        <f t="shared" si="8"/>
        <v>1738.734899493762</v>
      </c>
      <c r="J33" s="97">
        <f t="shared" si="9"/>
        <v>1820.5348994937619</v>
      </c>
      <c r="L33" s="115">
        <v>0.71740000000000004</v>
      </c>
      <c r="M33" s="115">
        <v>0.71560000000000001</v>
      </c>
      <c r="N33" s="115">
        <v>0.6411</v>
      </c>
      <c r="O33" s="115">
        <v>0.63790000000000002</v>
      </c>
      <c r="P33" s="97">
        <f t="shared" si="10"/>
        <v>112.32222957840519</v>
      </c>
      <c r="Q33" s="97">
        <f t="shared" si="11"/>
        <v>449.28891831362074</v>
      </c>
      <c r="R33" s="97">
        <f t="shared" si="12"/>
        <v>336.96668873521554</v>
      </c>
      <c r="S33" s="97">
        <f t="shared" si="13"/>
        <v>1347.8667549408622</v>
      </c>
      <c r="T33" s="9">
        <f t="shared" si="14"/>
        <v>94.799961764173986</v>
      </c>
      <c r="U33" s="9">
        <f t="shared" si="14"/>
        <v>378.24841170026707</v>
      </c>
      <c r="V33" s="9">
        <f t="shared" si="14"/>
        <v>254.15216958605495</v>
      </c>
      <c r="W33" s="9">
        <f t="shared" si="14"/>
        <v>1011.5343564432659</v>
      </c>
      <c r="X33" s="9"/>
      <c r="Y33" s="9">
        <f t="shared" si="15"/>
        <v>-71.040506613353671</v>
      </c>
      <c r="Z33" s="9"/>
      <c r="AA33" s="9">
        <f t="shared" si="16"/>
        <v>-336.33239849759627</v>
      </c>
      <c r="AB33" s="9">
        <f t="shared" si="17"/>
        <v>0</v>
      </c>
      <c r="AC33" s="9"/>
      <c r="AD33" s="9">
        <f t="shared" si="18"/>
        <v>0</v>
      </c>
      <c r="AE33" s="9"/>
      <c r="AF33" s="9"/>
      <c r="AG33" s="9">
        <f t="shared" si="19"/>
        <v>0</v>
      </c>
      <c r="AH33" s="9"/>
      <c r="AI33" s="9">
        <f t="shared" si="20"/>
        <v>0</v>
      </c>
      <c r="AJ33" s="9">
        <f t="shared" si="21"/>
        <v>507.70969207434155</v>
      </c>
    </row>
    <row r="34" spans="2:36" x14ac:dyDescent="0.35">
      <c r="B34" s="7" t="s">
        <v>159</v>
      </c>
      <c r="C34" s="10">
        <f>EC!C34</f>
        <v>0.85</v>
      </c>
      <c r="D34" s="10">
        <f>EC!D34</f>
        <v>0.84258890118136831</v>
      </c>
      <c r="E34" s="9">
        <f>ARR!W35</f>
        <v>1181.3574708707963</v>
      </c>
      <c r="F34" s="9">
        <f>'O&amp;M (Summary)'!W35</f>
        <v>5.7900000000000009</v>
      </c>
      <c r="G34" s="9">
        <f t="shared" si="6"/>
        <v>1175.5674708707963</v>
      </c>
      <c r="H34" s="9">
        <f t="shared" si="7"/>
        <v>18.048418229251411</v>
      </c>
      <c r="I34" s="97">
        <f t="shared" si="8"/>
        <v>1157.5190526415449</v>
      </c>
      <c r="J34" s="97">
        <f t="shared" si="9"/>
        <v>1163.3090526415449</v>
      </c>
      <c r="L34" s="115">
        <v>0.87539999999999996</v>
      </c>
      <c r="M34" s="115">
        <v>0.87209999999999999</v>
      </c>
      <c r="N34" s="115">
        <v>0.83420000000000005</v>
      </c>
      <c r="O34" s="115">
        <v>0.83220000000000005</v>
      </c>
      <c r="P34" s="97">
        <f t="shared" si="10"/>
        <v>58.778373543539821</v>
      </c>
      <c r="Q34" s="97">
        <f t="shared" si="11"/>
        <v>235.11349417415929</v>
      </c>
      <c r="R34" s="97">
        <f t="shared" si="12"/>
        <v>176.33512063061946</v>
      </c>
      <c r="S34" s="97">
        <f t="shared" si="13"/>
        <v>705.34048252247783</v>
      </c>
      <c r="T34" s="9">
        <f t="shared" si="14"/>
        <v>58.778373543539821</v>
      </c>
      <c r="U34" s="9">
        <f t="shared" si="14"/>
        <v>235.11349417415929</v>
      </c>
      <c r="V34" s="9">
        <f t="shared" si="14"/>
        <v>173.0573619177209</v>
      </c>
      <c r="W34" s="9">
        <f t="shared" si="14"/>
        <v>690.56982300612481</v>
      </c>
      <c r="X34" s="9"/>
      <c r="Y34" s="9">
        <f t="shared" si="15"/>
        <v>0</v>
      </c>
      <c r="Z34" s="9"/>
      <c r="AA34" s="9">
        <f t="shared" si="16"/>
        <v>-14.770659516353021</v>
      </c>
      <c r="AB34" s="9">
        <f t="shared" si="17"/>
        <v>1.756436103536366</v>
      </c>
      <c r="AC34" s="9"/>
      <c r="AD34" s="9">
        <f t="shared" si="18"/>
        <v>0</v>
      </c>
      <c r="AE34" s="9"/>
      <c r="AF34" s="9"/>
      <c r="AG34" s="9">
        <f t="shared" si="19"/>
        <v>0</v>
      </c>
      <c r="AH34" s="9"/>
      <c r="AI34" s="9">
        <f t="shared" si="20"/>
        <v>0</v>
      </c>
      <c r="AJ34" s="9">
        <f t="shared" si="21"/>
        <v>18.048418229251411</v>
      </c>
    </row>
    <row r="35" spans="2:36" x14ac:dyDescent="0.35">
      <c r="B35" s="7" t="s">
        <v>160</v>
      </c>
      <c r="C35" s="10">
        <f>EC!C35</f>
        <v>0.85</v>
      </c>
      <c r="D35" s="10">
        <f>EC!D35</f>
        <v>0.97057926116921989</v>
      </c>
      <c r="E35" s="9">
        <f>ARR!W36</f>
        <v>375.7240712876536</v>
      </c>
      <c r="F35" s="9">
        <f>'O&amp;M (Summary)'!W36</f>
        <v>5.3</v>
      </c>
      <c r="G35" s="9">
        <f t="shared" si="6"/>
        <v>370.42407128765359</v>
      </c>
      <c r="H35" s="9">
        <f t="shared" si="7"/>
        <v>0</v>
      </c>
      <c r="I35" s="97">
        <f t="shared" si="8"/>
        <v>370.42407128765359</v>
      </c>
      <c r="J35" s="97">
        <f t="shared" si="9"/>
        <v>375.7240712876536</v>
      </c>
      <c r="L35" s="115">
        <v>0.95269999999999999</v>
      </c>
      <c r="M35" s="115">
        <v>0.95479999999999998</v>
      </c>
      <c r="N35" s="115">
        <v>0.97619999999999996</v>
      </c>
      <c r="O35" s="115">
        <v>0.97589999999999999</v>
      </c>
      <c r="P35" s="97">
        <f t="shared" si="10"/>
        <v>18.521203564382681</v>
      </c>
      <c r="Q35" s="97">
        <f t="shared" si="11"/>
        <v>74.084814257530724</v>
      </c>
      <c r="R35" s="97">
        <f t="shared" si="12"/>
        <v>55.563610693148043</v>
      </c>
      <c r="S35" s="97">
        <f t="shared" si="13"/>
        <v>222.25444277259217</v>
      </c>
      <c r="T35" s="9">
        <f t="shared" si="14"/>
        <v>18.521203564382681</v>
      </c>
      <c r="U35" s="9">
        <f t="shared" si="14"/>
        <v>74.084814257530724</v>
      </c>
      <c r="V35" s="9">
        <f t="shared" si="14"/>
        <v>55.563610693148043</v>
      </c>
      <c r="W35" s="9">
        <f t="shared" si="14"/>
        <v>222.25444277259217</v>
      </c>
      <c r="X35" s="9"/>
      <c r="Y35" s="9">
        <f t="shared" si="15"/>
        <v>0</v>
      </c>
      <c r="Z35" s="9"/>
      <c r="AA35" s="9">
        <f t="shared" si="16"/>
        <v>0</v>
      </c>
      <c r="AB35" s="9">
        <f t="shared" si="17"/>
        <v>2.2377971836024741</v>
      </c>
      <c r="AC35" s="9"/>
      <c r="AD35" s="9">
        <f t="shared" si="18"/>
        <v>8.2495619640885707</v>
      </c>
      <c r="AE35" s="9"/>
      <c r="AF35" s="9"/>
      <c r="AG35" s="9">
        <f t="shared" si="19"/>
        <v>0</v>
      </c>
      <c r="AH35" s="9"/>
      <c r="AI35" s="9">
        <f t="shared" si="20"/>
        <v>0</v>
      </c>
      <c r="AJ35" s="9">
        <f t="shared" si="21"/>
        <v>0</v>
      </c>
    </row>
    <row r="36" spans="2:36" x14ac:dyDescent="0.35">
      <c r="B36" s="12" t="s">
        <v>27</v>
      </c>
      <c r="C36" s="7"/>
      <c r="D36" s="7"/>
      <c r="E36" s="13">
        <f>SUM(E23:E35)</f>
        <v>9058.8418483717323</v>
      </c>
      <c r="F36" s="13">
        <f t="shared" ref="F36:J36" si="22">SUM(F23:F35)</f>
        <v>262.11000000000007</v>
      </c>
      <c r="G36" s="13">
        <f t="shared" si="22"/>
        <v>8796.7318483717336</v>
      </c>
      <c r="H36" s="13">
        <f t="shared" si="22"/>
        <v>825.86539836924658</v>
      </c>
      <c r="I36" s="13">
        <f t="shared" si="22"/>
        <v>7970.8664500024852</v>
      </c>
      <c r="J36" s="13">
        <f t="shared" si="22"/>
        <v>8232.9764500024867</v>
      </c>
      <c r="L36" s="7"/>
      <c r="M36" s="7"/>
      <c r="N36" s="7"/>
      <c r="O36" s="7"/>
      <c r="P36" s="13">
        <f>SUM(P23:P35)</f>
        <v>431.84249482775306</v>
      </c>
      <c r="Q36" s="13">
        <f t="shared" ref="Q36:AJ36" si="23">SUM(Q23:Q35)</f>
        <v>1727.3699793110122</v>
      </c>
      <c r="R36" s="13">
        <f t="shared" si="23"/>
        <v>1295.5274844832593</v>
      </c>
      <c r="S36" s="13">
        <f t="shared" si="23"/>
        <v>5182.1099379330371</v>
      </c>
      <c r="T36" s="13">
        <f t="shared" si="23"/>
        <v>410.87568677392164</v>
      </c>
      <c r="U36" s="13">
        <f t="shared" si="23"/>
        <v>1640.4626471394979</v>
      </c>
      <c r="V36" s="13">
        <f t="shared" si="23"/>
        <v>1153.0260835058252</v>
      </c>
      <c r="W36" s="13">
        <f t="shared" si="23"/>
        <v>4606.6200807665691</v>
      </c>
      <c r="X36" s="13">
        <f t="shared" si="23"/>
        <v>0</v>
      </c>
      <c r="Y36" s="13">
        <f t="shared" si="23"/>
        <v>-86.907332171514369</v>
      </c>
      <c r="Z36" s="13">
        <f t="shared" si="23"/>
        <v>0</v>
      </c>
      <c r="AA36" s="13">
        <f t="shared" si="23"/>
        <v>-575.48985716646712</v>
      </c>
      <c r="AB36" s="13">
        <f t="shared" si="23"/>
        <v>23.892985609023796</v>
      </c>
      <c r="AC36" s="13">
        <f t="shared" si="23"/>
        <v>0</v>
      </c>
      <c r="AD36" s="13">
        <f t="shared" si="23"/>
        <v>45.667259581557602</v>
      </c>
      <c r="AE36" s="13">
        <f t="shared" si="23"/>
        <v>0</v>
      </c>
      <c r="AF36" s="13">
        <f t="shared" si="23"/>
        <v>0</v>
      </c>
      <c r="AG36" s="13">
        <f t="shared" si="23"/>
        <v>0</v>
      </c>
      <c r="AH36" s="13">
        <f t="shared" si="23"/>
        <v>0</v>
      </c>
      <c r="AI36" s="13">
        <f t="shared" si="23"/>
        <v>0</v>
      </c>
      <c r="AJ36" s="13">
        <f t="shared" si="23"/>
        <v>825.86539836924658</v>
      </c>
    </row>
    <row r="38" spans="2:36" x14ac:dyDescent="0.35">
      <c r="B38" s="3" t="s">
        <v>401</v>
      </c>
    </row>
    <row r="39" spans="2:36" ht="30" x14ac:dyDescent="0.35">
      <c r="B39" s="150" t="s">
        <v>170</v>
      </c>
      <c r="C39" s="6" t="s">
        <v>29</v>
      </c>
      <c r="D39" s="6" t="s">
        <v>28</v>
      </c>
      <c r="E39" s="96" t="s">
        <v>384</v>
      </c>
      <c r="F39" s="96" t="s">
        <v>385</v>
      </c>
      <c r="G39" s="96" t="s">
        <v>386</v>
      </c>
      <c r="H39" s="96" t="s">
        <v>387</v>
      </c>
      <c r="I39" s="96" t="s">
        <v>388</v>
      </c>
      <c r="J39" s="96" t="s">
        <v>389</v>
      </c>
      <c r="L39" s="187" t="s">
        <v>391</v>
      </c>
      <c r="M39" s="187"/>
      <c r="N39" s="187"/>
      <c r="O39" s="187"/>
      <c r="P39" s="187" t="s">
        <v>392</v>
      </c>
      <c r="Q39" s="187"/>
      <c r="R39" s="187"/>
      <c r="S39" s="187"/>
      <c r="T39" s="192" t="s">
        <v>393</v>
      </c>
      <c r="U39" s="192"/>
      <c r="V39" s="192"/>
      <c r="W39" s="192"/>
      <c r="X39" s="192" t="s">
        <v>394</v>
      </c>
      <c r="Y39" s="192"/>
      <c r="Z39" s="192"/>
      <c r="AA39" s="192"/>
      <c r="AB39" s="192" t="s">
        <v>395</v>
      </c>
      <c r="AC39" s="192"/>
      <c r="AD39" s="192"/>
      <c r="AE39" s="192"/>
      <c r="AF39" s="192" t="s">
        <v>396</v>
      </c>
      <c r="AG39" s="192"/>
      <c r="AH39" s="192"/>
      <c r="AI39" s="192"/>
      <c r="AJ39" s="96" t="s">
        <v>387</v>
      </c>
    </row>
    <row r="40" spans="2:36" ht="30" x14ac:dyDescent="0.35">
      <c r="B40" s="151"/>
      <c r="C40" s="6" t="s">
        <v>16</v>
      </c>
      <c r="D40" s="6" t="s">
        <v>16</v>
      </c>
      <c r="E40" s="6" t="s">
        <v>14</v>
      </c>
      <c r="F40" s="6" t="s">
        <v>14</v>
      </c>
      <c r="G40" s="6" t="s">
        <v>14</v>
      </c>
      <c r="H40" s="6" t="s">
        <v>14</v>
      </c>
      <c r="I40" s="6" t="s">
        <v>14</v>
      </c>
      <c r="J40" s="6" t="s">
        <v>14</v>
      </c>
      <c r="L40" s="96" t="s">
        <v>397</v>
      </c>
      <c r="M40" s="96" t="s">
        <v>398</v>
      </c>
      <c r="N40" s="96" t="s">
        <v>399</v>
      </c>
      <c r="O40" s="96" t="s">
        <v>400</v>
      </c>
      <c r="P40" s="96" t="s">
        <v>397</v>
      </c>
      <c r="Q40" s="96" t="s">
        <v>398</v>
      </c>
      <c r="R40" s="96" t="s">
        <v>399</v>
      </c>
      <c r="S40" s="96" t="s">
        <v>400</v>
      </c>
      <c r="T40" s="96" t="s">
        <v>397</v>
      </c>
      <c r="U40" s="96" t="s">
        <v>398</v>
      </c>
      <c r="V40" s="96" t="s">
        <v>399</v>
      </c>
      <c r="W40" s="96" t="s">
        <v>400</v>
      </c>
      <c r="X40" s="96" t="s">
        <v>397</v>
      </c>
      <c r="Y40" s="96" t="s">
        <v>398</v>
      </c>
      <c r="Z40" s="96" t="s">
        <v>399</v>
      </c>
      <c r="AA40" s="96" t="s">
        <v>400</v>
      </c>
      <c r="AB40" s="96" t="s">
        <v>397</v>
      </c>
      <c r="AC40" s="96" t="s">
        <v>398</v>
      </c>
      <c r="AD40" s="96" t="s">
        <v>399</v>
      </c>
      <c r="AE40" s="96" t="s">
        <v>400</v>
      </c>
      <c r="AF40" s="96" t="s">
        <v>397</v>
      </c>
      <c r="AG40" s="96" t="s">
        <v>398</v>
      </c>
      <c r="AH40" s="96" t="s">
        <v>399</v>
      </c>
      <c r="AI40" s="96" t="s">
        <v>400</v>
      </c>
      <c r="AJ40" s="6" t="s">
        <v>14</v>
      </c>
    </row>
    <row r="41" spans="2:36" x14ac:dyDescent="0.35">
      <c r="B41" s="7" t="s">
        <v>43</v>
      </c>
      <c r="C41" s="10">
        <f>EC!C41</f>
        <v>0.8</v>
      </c>
      <c r="D41" s="10">
        <f>EC!D41</f>
        <v>0.6468820606376755</v>
      </c>
      <c r="E41" s="9">
        <f>ARR!W43</f>
        <v>143.25823310921007</v>
      </c>
      <c r="F41" s="9">
        <f>'O&amp;M (Summary)'!W43</f>
        <v>11.26</v>
      </c>
      <c r="G41" s="9">
        <f>E41-F41</f>
        <v>131.99823310921008</v>
      </c>
      <c r="H41" s="9">
        <f>AJ41</f>
        <v>25.270236739801362</v>
      </c>
      <c r="I41" s="97">
        <f>G41-H41</f>
        <v>106.72799636940871</v>
      </c>
      <c r="J41" s="97">
        <f>I41+F41</f>
        <v>117.98799636940872</v>
      </c>
      <c r="L41" s="115">
        <v>0.67259999999999998</v>
      </c>
      <c r="M41" s="115">
        <v>0.66990000000000005</v>
      </c>
      <c r="N41" s="115">
        <v>0.63649999999999995</v>
      </c>
      <c r="O41" s="115">
        <v>0.63959999999999995</v>
      </c>
      <c r="P41" s="97">
        <f>G41*1/4*20%</f>
        <v>6.5999116554605042</v>
      </c>
      <c r="Q41" s="97">
        <f>G41*1/4*80%</f>
        <v>26.399646621842017</v>
      </c>
      <c r="R41" s="97">
        <f>G41*3/4*20%</f>
        <v>19.799734966381511</v>
      </c>
      <c r="S41" s="97">
        <f>G41*3/4*80%</f>
        <v>79.198939865526043</v>
      </c>
      <c r="T41" s="9">
        <f t="shared" ref="T41:W45" si="24">MIN(L41/$C41,1)*P41</f>
        <v>5.5488757243284184</v>
      </c>
      <c r="U41" s="9">
        <f t="shared" si="24"/>
        <v>22.106404089964958</v>
      </c>
      <c r="V41" s="9">
        <f t="shared" si="24"/>
        <v>15.753164132627289</v>
      </c>
      <c r="W41" s="9">
        <f t="shared" si="24"/>
        <v>63.319552422488059</v>
      </c>
      <c r="X41" s="9"/>
      <c r="Y41" s="9">
        <f>U41-Q41</f>
        <v>-4.2932425318770591</v>
      </c>
      <c r="Z41" s="9"/>
      <c r="AA41" s="9">
        <f>W41-S41</f>
        <v>-15.879387443037984</v>
      </c>
      <c r="AB41" s="9">
        <f>(L41/$C41)*P41-T41</f>
        <v>0</v>
      </c>
      <c r="AC41" s="9"/>
      <c r="AD41" s="9">
        <f>(N41/$C41)*R41-V41</f>
        <v>0</v>
      </c>
      <c r="AE41" s="9"/>
      <c r="AF41" s="9"/>
      <c r="AG41" s="9">
        <f>IF(Y41&lt;0,MIN(AB41,-Y41),0)</f>
        <v>0</v>
      </c>
      <c r="AH41" s="9"/>
      <c r="AI41" s="9">
        <f>IF(AA41&lt;0,MIN(AD41,-AA41),0)</f>
        <v>0</v>
      </c>
      <c r="AJ41" s="9">
        <f>SUM(P41:S41)-SUM(T41:W41)+SUM(AF41:AI41)</f>
        <v>25.270236739801362</v>
      </c>
    </row>
    <row r="42" spans="2:36" x14ac:dyDescent="0.35">
      <c r="B42" s="7" t="s">
        <v>150</v>
      </c>
      <c r="C42" s="10">
        <f>EC!C42</f>
        <v>0.8</v>
      </c>
      <c r="D42" s="10">
        <f>EC!D42</f>
        <v>0.53509433752273083</v>
      </c>
      <c r="E42" s="9">
        <f>ARR!W44</f>
        <v>962.45674573988003</v>
      </c>
      <c r="F42" s="9">
        <f>'O&amp;M (Summary)'!W44</f>
        <v>10.969999999999999</v>
      </c>
      <c r="G42" s="9">
        <f t="shared" ref="G42:G53" si="25">E42-F42</f>
        <v>951.48674573988001</v>
      </c>
      <c r="H42" s="9">
        <f t="shared" ref="H42:H53" si="26">AJ42</f>
        <v>315.18593131849616</v>
      </c>
      <c r="I42" s="97">
        <f t="shared" ref="I42:I53" si="27">G42-H42</f>
        <v>636.30081442138385</v>
      </c>
      <c r="J42" s="97">
        <f t="shared" ref="J42:J53" si="28">I42+F42</f>
        <v>647.27081442138388</v>
      </c>
      <c r="L42" s="115">
        <v>0.50480000000000003</v>
      </c>
      <c r="M42" s="115">
        <v>0.50539999999999996</v>
      </c>
      <c r="N42" s="115">
        <v>0.54169999999999996</v>
      </c>
      <c r="O42" s="115">
        <v>0.54569999999999996</v>
      </c>
      <c r="P42" s="97">
        <f>G42*1/4*20%</f>
        <v>47.574337286994002</v>
      </c>
      <c r="Q42" s="97">
        <f>G42*1/4*80%</f>
        <v>190.29734914797601</v>
      </c>
      <c r="R42" s="97">
        <f>G42*3/4*20%</f>
        <v>142.72301186098201</v>
      </c>
      <c r="S42" s="97">
        <f>G42*3/4*80%</f>
        <v>570.89204744392805</v>
      </c>
      <c r="T42" s="9">
        <f t="shared" si="24"/>
        <v>30.019406828093217</v>
      </c>
      <c r="U42" s="9">
        <f t="shared" si="24"/>
        <v>120.22035032423383</v>
      </c>
      <c r="V42" s="9">
        <f t="shared" si="24"/>
        <v>96.64131940636743</v>
      </c>
      <c r="W42" s="9">
        <f t="shared" si="24"/>
        <v>389.41973786268937</v>
      </c>
      <c r="X42" s="9"/>
      <c r="Y42" s="9">
        <f>U42-Q42</f>
        <v>-70.076998823742173</v>
      </c>
      <c r="Z42" s="9"/>
      <c r="AA42" s="9">
        <f>W42-S42</f>
        <v>-181.47230958123868</v>
      </c>
      <c r="AB42" s="9">
        <f>(L42/$C42)*P42-T42</f>
        <v>0</v>
      </c>
      <c r="AC42" s="9"/>
      <c r="AD42" s="9">
        <f>(N42/$C42)*R42-V42</f>
        <v>0</v>
      </c>
      <c r="AE42" s="9"/>
      <c r="AF42" s="9"/>
      <c r="AG42" s="9">
        <f>IF(Y42&lt;0,MIN(AB42,-Y42),0)</f>
        <v>0</v>
      </c>
      <c r="AH42" s="9"/>
      <c r="AI42" s="9">
        <f>IF(AA42&lt;0,MIN(AD42,-AA42),0)</f>
        <v>0</v>
      </c>
      <c r="AJ42" s="9">
        <f>SUM(P42:S42)-SUM(T42:W42)+SUM(AF42:AI42)</f>
        <v>315.18593131849616</v>
      </c>
    </row>
    <row r="43" spans="2:36" x14ac:dyDescent="0.35">
      <c r="B43" s="7" t="s">
        <v>151</v>
      </c>
      <c r="C43" s="10">
        <f>EC!C43</f>
        <v>0.85</v>
      </c>
      <c r="D43" s="10">
        <f>EC!D43</f>
        <v>0.61001163373633305</v>
      </c>
      <c r="E43" s="9">
        <f>ARR!W45</f>
        <v>559.35531428564889</v>
      </c>
      <c r="F43" s="9">
        <f>'O&amp;M (Summary)'!W45</f>
        <v>60.089999999999996</v>
      </c>
      <c r="G43" s="9">
        <f t="shared" si="25"/>
        <v>499.26531428564891</v>
      </c>
      <c r="H43" s="9">
        <f t="shared" si="26"/>
        <v>141.0218933021664</v>
      </c>
      <c r="I43" s="97">
        <f t="shared" si="27"/>
        <v>358.24342098348251</v>
      </c>
      <c r="J43" s="97">
        <f t="shared" si="28"/>
        <v>418.33342098348248</v>
      </c>
      <c r="L43" s="115">
        <v>0.60409999999999997</v>
      </c>
      <c r="M43" s="115">
        <v>0.60150000000000003</v>
      </c>
      <c r="N43" s="115">
        <v>0.60870000000000002</v>
      </c>
      <c r="O43" s="115">
        <v>0.61350000000000005</v>
      </c>
      <c r="P43" s="97">
        <f>G43*1/4*20%</f>
        <v>24.963265714282446</v>
      </c>
      <c r="Q43" s="97">
        <f>G43*1/4*80%</f>
        <v>99.853062857129785</v>
      </c>
      <c r="R43" s="97">
        <f>G43*3/4*20%</f>
        <v>74.889797142847343</v>
      </c>
      <c r="S43" s="97">
        <f>G43*3/4*80%</f>
        <v>299.55918857138937</v>
      </c>
      <c r="T43" s="9">
        <f t="shared" si="24"/>
        <v>17.741539785880029</v>
      </c>
      <c r="U43" s="9">
        <f t="shared" si="24"/>
        <v>70.660726245368906</v>
      </c>
      <c r="V43" s="9">
        <f t="shared" si="24"/>
        <v>53.629905318648447</v>
      </c>
      <c r="W43" s="9">
        <f t="shared" si="24"/>
        <v>216.21124963358517</v>
      </c>
      <c r="X43" s="9"/>
      <c r="Y43" s="9">
        <f>U43-Q43</f>
        <v>-29.192336611760879</v>
      </c>
      <c r="Z43" s="9"/>
      <c r="AA43" s="9">
        <f>W43-S43</f>
        <v>-83.347938937804201</v>
      </c>
      <c r="AB43" s="9">
        <f>(L43/$C43)*P43-T43</f>
        <v>0</v>
      </c>
      <c r="AC43" s="9"/>
      <c r="AD43" s="9">
        <f>(N43/$C43)*R43-V43</f>
        <v>0</v>
      </c>
      <c r="AE43" s="9"/>
      <c r="AF43" s="9"/>
      <c r="AG43" s="9">
        <f>IF(Y43&lt;0,MIN(AB43,-Y43),0)</f>
        <v>0</v>
      </c>
      <c r="AH43" s="9"/>
      <c r="AI43" s="9">
        <f>IF(AA43&lt;0,MIN(AD43,-AA43),0)</f>
        <v>0</v>
      </c>
      <c r="AJ43" s="9">
        <f>SUM(P43:S43)-SUM(T43:W43)+SUM(AF43:AI43)</f>
        <v>141.0218933021664</v>
      </c>
    </row>
    <row r="44" spans="2:36" x14ac:dyDescent="0.35">
      <c r="B44" s="7" t="s">
        <v>44</v>
      </c>
      <c r="C44" s="10">
        <f>EC!C44</f>
        <v>0.72</v>
      </c>
      <c r="D44" s="10">
        <f>EC!D44</f>
        <v>0.72516156969920809</v>
      </c>
      <c r="E44" s="9">
        <f>ARR!W46</f>
        <v>273.69765575468227</v>
      </c>
      <c r="F44" s="9">
        <f>'O&amp;M (Summary)'!W46</f>
        <v>38.730000000000004</v>
      </c>
      <c r="G44" s="9">
        <f t="shared" si="25"/>
        <v>234.96765575468226</v>
      </c>
      <c r="H44" s="9">
        <f t="shared" si="26"/>
        <v>4.7563001372174938</v>
      </c>
      <c r="I44" s="97">
        <f t="shared" si="27"/>
        <v>230.21135561746476</v>
      </c>
      <c r="J44" s="97">
        <f t="shared" si="28"/>
        <v>268.94135561746475</v>
      </c>
      <c r="L44" s="115">
        <v>0.65710999999999997</v>
      </c>
      <c r="M44" s="115">
        <v>0.66285000000000005</v>
      </c>
      <c r="N44" s="115">
        <v>0.73619999999999997</v>
      </c>
      <c r="O44" s="115">
        <v>0.74829999999999997</v>
      </c>
      <c r="P44" s="97">
        <f>G44*1/4*20%</f>
        <v>11.748382787734114</v>
      </c>
      <c r="Q44" s="97">
        <f>G44*1/4*80%</f>
        <v>46.993531150936455</v>
      </c>
      <c r="R44" s="97">
        <f>G44*3/4*20%</f>
        <v>35.24514836320234</v>
      </c>
      <c r="S44" s="97">
        <f>G44*3/4*80%</f>
        <v>140.98059345280936</v>
      </c>
      <c r="T44" s="9">
        <f t="shared" si="24"/>
        <v>10.722194185622172</v>
      </c>
      <c r="U44" s="9">
        <f t="shared" si="24"/>
        <v>43.263419615830884</v>
      </c>
      <c r="V44" s="9">
        <f t="shared" si="24"/>
        <v>35.24514836320234</v>
      </c>
      <c r="W44" s="9">
        <f t="shared" si="24"/>
        <v>140.98059345280936</v>
      </c>
      <c r="X44" s="9"/>
      <c r="Y44" s="9">
        <f>U44-Q44</f>
        <v>-3.7301115351055714</v>
      </c>
      <c r="Z44" s="9"/>
      <c r="AA44" s="9">
        <f>W44-S44</f>
        <v>0</v>
      </c>
      <c r="AB44" s="9">
        <f>(L44/$C44)*P44-T44</f>
        <v>0</v>
      </c>
      <c r="AC44" s="9"/>
      <c r="AD44" s="9">
        <f>(N44/$C44)*R44-V44</f>
        <v>0.79301583817205312</v>
      </c>
      <c r="AE44" s="9"/>
      <c r="AF44" s="9"/>
      <c r="AG44" s="9">
        <f>IF(Y44&lt;0,MIN(AB44,-Y44),0)</f>
        <v>0</v>
      </c>
      <c r="AH44" s="9"/>
      <c r="AI44" s="9">
        <f>IF(AA44&lt;0,MIN(AD44,-AA44),0)</f>
        <v>0</v>
      </c>
      <c r="AJ44" s="9">
        <f>SUM(P44:S44)-SUM(T44:W44)+SUM(AF44:AI44)</f>
        <v>4.7563001372174938</v>
      </c>
    </row>
    <row r="45" spans="2:36" x14ac:dyDescent="0.35">
      <c r="B45" s="7" t="s">
        <v>152</v>
      </c>
      <c r="C45" s="10">
        <f>EC!C45</f>
        <v>0.8</v>
      </c>
      <c r="D45" s="10">
        <f>EC!D45</f>
        <v>0.84426073847789562</v>
      </c>
      <c r="E45" s="9">
        <f>ARR!W47</f>
        <v>393.77585880606466</v>
      </c>
      <c r="F45" s="9">
        <f>'O&amp;M (Summary)'!W47</f>
        <v>13.58</v>
      </c>
      <c r="G45" s="9">
        <f t="shared" si="25"/>
        <v>380.19585880606468</v>
      </c>
      <c r="H45" s="9">
        <f t="shared" si="26"/>
        <v>0</v>
      </c>
      <c r="I45" s="97">
        <f t="shared" si="27"/>
        <v>380.19585880606468</v>
      </c>
      <c r="J45" s="97">
        <f t="shared" si="28"/>
        <v>393.77585880606466</v>
      </c>
      <c r="L45" s="115">
        <v>0.88470000000000004</v>
      </c>
      <c r="M45" s="115">
        <v>0.90090000000000003</v>
      </c>
      <c r="N45" s="115">
        <v>0.82189999999999996</v>
      </c>
      <c r="O45" s="115">
        <v>0.82709999999999995</v>
      </c>
      <c r="P45" s="97">
        <f>G45*1/4*20%</f>
        <v>19.009792940303235</v>
      </c>
      <c r="Q45" s="97">
        <f>G45*1/4*80%</f>
        <v>76.039171761212941</v>
      </c>
      <c r="R45" s="97">
        <f>G45*3/4*20%</f>
        <v>57.029378820909699</v>
      </c>
      <c r="S45" s="97">
        <f>G45*3/4*80%</f>
        <v>228.1175152836388</v>
      </c>
      <c r="T45" s="9">
        <f t="shared" si="24"/>
        <v>19.009792940303235</v>
      </c>
      <c r="U45" s="9">
        <f t="shared" si="24"/>
        <v>76.039171761212941</v>
      </c>
      <c r="V45" s="9">
        <f t="shared" si="24"/>
        <v>57.029378820909699</v>
      </c>
      <c r="W45" s="9">
        <f t="shared" si="24"/>
        <v>228.1175152836388</v>
      </c>
      <c r="X45" s="9"/>
      <c r="Y45" s="9">
        <f>U45-Q45</f>
        <v>0</v>
      </c>
      <c r="Z45" s="9"/>
      <c r="AA45" s="9">
        <f>W45-S45</f>
        <v>0</v>
      </c>
      <c r="AB45" s="9">
        <f>(L45/$C45)*P45-T45</f>
        <v>2.0126618275546022</v>
      </c>
      <c r="AC45" s="9"/>
      <c r="AD45" s="9">
        <f>(N45/$C45)*R45-V45</f>
        <v>1.561179245222398</v>
      </c>
      <c r="AE45" s="9"/>
      <c r="AF45" s="9"/>
      <c r="AG45" s="9">
        <f>IF(Y45&lt;0,MIN(AB45,-Y45),0)</f>
        <v>0</v>
      </c>
      <c r="AH45" s="9"/>
      <c r="AI45" s="9">
        <f>IF(AA45&lt;0,MIN(AD45,-AA45),0)</f>
        <v>0</v>
      </c>
      <c r="AJ45" s="9">
        <f>SUM(P45:S45)-SUM(T45:W45)+SUM(AF45:AI45)</f>
        <v>0</v>
      </c>
    </row>
    <row r="46" spans="2:36" x14ac:dyDescent="0.35">
      <c r="B46" s="7" t="s">
        <v>154</v>
      </c>
      <c r="C46" s="10">
        <f>D46</f>
        <v>0.35333632351406941</v>
      </c>
      <c r="D46" s="10">
        <f>EC!D46</f>
        <v>0.35333632351406941</v>
      </c>
      <c r="E46" s="9">
        <f>ARR!W48</f>
        <v>164.58058426685642</v>
      </c>
      <c r="F46" s="9">
        <f>'O&amp;M (Summary)'!W48</f>
        <v>1.1200000000000001</v>
      </c>
      <c r="G46" s="9">
        <f t="shared" si="25"/>
        <v>163.46058426685642</v>
      </c>
      <c r="H46" s="9">
        <f t="shared" si="26"/>
        <v>0</v>
      </c>
      <c r="I46" s="97">
        <f t="shared" si="27"/>
        <v>163.46058426685642</v>
      </c>
      <c r="J46" s="97">
        <f t="shared" si="28"/>
        <v>164.58058426685642</v>
      </c>
      <c r="L46" s="115"/>
      <c r="M46" s="115"/>
      <c r="N46" s="115"/>
      <c r="O46" s="115"/>
      <c r="P46" s="97"/>
      <c r="Q46" s="97"/>
      <c r="R46" s="97"/>
      <c r="S46" s="97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2:36" x14ac:dyDescent="0.35">
      <c r="B47" s="7" t="s">
        <v>155</v>
      </c>
      <c r="C47" s="10">
        <f>EC!C47</f>
        <v>0.85</v>
      </c>
      <c r="D47" s="10">
        <f>EC!D47</f>
        <v>0.74996703827866051</v>
      </c>
      <c r="E47" s="9">
        <f>ARR!W49</f>
        <v>446.23921732115804</v>
      </c>
      <c r="F47" s="9">
        <f>'O&amp;M (Summary)'!W49</f>
        <v>4.2799999999999994</v>
      </c>
      <c r="G47" s="9">
        <f t="shared" si="25"/>
        <v>441.95921732115806</v>
      </c>
      <c r="H47" s="9">
        <f t="shared" si="26"/>
        <v>52.431961734900653</v>
      </c>
      <c r="I47" s="97">
        <f t="shared" si="27"/>
        <v>389.52725558625741</v>
      </c>
      <c r="J47" s="97">
        <f t="shared" si="28"/>
        <v>393.80725558625738</v>
      </c>
      <c r="L47" s="115">
        <v>0.84319999999999995</v>
      </c>
      <c r="M47" s="115">
        <v>0.85319999999999996</v>
      </c>
      <c r="N47" s="115">
        <v>0.71319999999999995</v>
      </c>
      <c r="O47" s="115">
        <v>0.7167</v>
      </c>
      <c r="P47" s="97">
        <f t="shared" ref="P47:P53" si="29">G47*1/4*20%</f>
        <v>22.097960866057903</v>
      </c>
      <c r="Q47" s="97">
        <f t="shared" ref="Q47:Q53" si="30">G47*1/4*80%</f>
        <v>88.391843464231613</v>
      </c>
      <c r="R47" s="97">
        <f t="shared" ref="R47:R53" si="31">G47*3/4*20%</f>
        <v>66.29388259817371</v>
      </c>
      <c r="S47" s="97">
        <f t="shared" ref="S47:S53" si="32">G47*3/4*80%</f>
        <v>265.17553039269484</v>
      </c>
      <c r="T47" s="9">
        <f t="shared" ref="T47:W53" si="33">MIN(L47/$C47,1)*P47</f>
        <v>21.92117717912944</v>
      </c>
      <c r="U47" s="9">
        <f t="shared" si="33"/>
        <v>88.391843464231613</v>
      </c>
      <c r="V47" s="9">
        <f t="shared" si="33"/>
        <v>55.624467140020577</v>
      </c>
      <c r="W47" s="9">
        <f t="shared" si="33"/>
        <v>223.58976780287577</v>
      </c>
      <c r="X47" s="9"/>
      <c r="Y47" s="9">
        <f t="shared" ref="Y47:Y53" si="34">U47-Q47</f>
        <v>0</v>
      </c>
      <c r="Z47" s="9"/>
      <c r="AA47" s="9">
        <f t="shared" ref="AA47:AA53" si="35">W47-S47</f>
        <v>-41.585762589819069</v>
      </c>
      <c r="AB47" s="9">
        <f t="shared" ref="AB47:AB53" si="36">(L47/$C47)*P47-T47</f>
        <v>0</v>
      </c>
      <c r="AC47" s="9"/>
      <c r="AD47" s="9">
        <f t="shared" ref="AD47:AD53" si="37">(N47/$C47)*R47-V47</f>
        <v>0</v>
      </c>
      <c r="AE47" s="9"/>
      <c r="AF47" s="9"/>
      <c r="AG47" s="9">
        <f t="shared" ref="AG47:AG53" si="38">IF(Y47&lt;0,MIN(AB47,-Y47),0)</f>
        <v>0</v>
      </c>
      <c r="AH47" s="9"/>
      <c r="AI47" s="9">
        <f t="shared" ref="AI47:AI53" si="39">IF(AA47&lt;0,MIN(AD47,-AA47),0)</f>
        <v>0</v>
      </c>
      <c r="AJ47" s="9">
        <f t="shared" ref="AJ47:AJ53" si="40">SUM(P47:S47)-SUM(T47:W47)+SUM(AF47:AI47)</f>
        <v>52.431961734900653</v>
      </c>
    </row>
    <row r="48" spans="2:36" x14ac:dyDescent="0.35">
      <c r="B48" s="7" t="s">
        <v>156</v>
      </c>
      <c r="C48" s="10">
        <f>EC!C48</f>
        <v>0.85</v>
      </c>
      <c r="D48" s="10">
        <f>EC!D48</f>
        <v>0.77583022721101103</v>
      </c>
      <c r="E48" s="9">
        <f>ARR!W50</f>
        <v>422.21655198534552</v>
      </c>
      <c r="F48" s="9">
        <f>'O&amp;M (Summary)'!W50</f>
        <v>13.62</v>
      </c>
      <c r="G48" s="9">
        <f t="shared" si="25"/>
        <v>408.59655198534551</v>
      </c>
      <c r="H48" s="9">
        <f t="shared" si="26"/>
        <v>35.620005296604802</v>
      </c>
      <c r="I48" s="97">
        <f t="shared" si="27"/>
        <v>372.97654668874071</v>
      </c>
      <c r="J48" s="97">
        <f t="shared" si="28"/>
        <v>386.59654668874072</v>
      </c>
      <c r="L48" s="115">
        <v>0.82410000000000005</v>
      </c>
      <c r="M48" s="115">
        <v>0.82040000000000002</v>
      </c>
      <c r="N48" s="115">
        <v>0.7621</v>
      </c>
      <c r="O48" s="115">
        <v>0.76049999999999995</v>
      </c>
      <c r="P48" s="97">
        <f t="shared" si="29"/>
        <v>20.429827599267277</v>
      </c>
      <c r="Q48" s="97">
        <f t="shared" si="30"/>
        <v>81.719310397069108</v>
      </c>
      <c r="R48" s="97">
        <f t="shared" si="31"/>
        <v>61.289482797801831</v>
      </c>
      <c r="S48" s="97">
        <f t="shared" si="32"/>
        <v>245.15793119120733</v>
      </c>
      <c r="T48" s="9">
        <f t="shared" si="33"/>
        <v>19.807318734771957</v>
      </c>
      <c r="U48" s="9">
        <f t="shared" si="33"/>
        <v>78.873555587947649</v>
      </c>
      <c r="V48" s="9">
        <f t="shared" si="33"/>
        <v>54.951429223770326</v>
      </c>
      <c r="W48" s="9">
        <f t="shared" si="33"/>
        <v>219.34424314225078</v>
      </c>
      <c r="X48" s="9"/>
      <c r="Y48" s="9">
        <f t="shared" si="34"/>
        <v>-2.8457548091214591</v>
      </c>
      <c r="Z48" s="9"/>
      <c r="AA48" s="9">
        <f t="shared" si="35"/>
        <v>-25.81368804895655</v>
      </c>
      <c r="AB48" s="9">
        <f t="shared" si="36"/>
        <v>0</v>
      </c>
      <c r="AC48" s="9"/>
      <c r="AD48" s="9">
        <f t="shared" si="37"/>
        <v>0</v>
      </c>
      <c r="AE48" s="9"/>
      <c r="AF48" s="9"/>
      <c r="AG48" s="9">
        <f t="shared" si="38"/>
        <v>0</v>
      </c>
      <c r="AH48" s="9"/>
      <c r="AI48" s="9">
        <f t="shared" si="39"/>
        <v>0</v>
      </c>
      <c r="AJ48" s="9">
        <f t="shared" si="40"/>
        <v>35.620005296604802</v>
      </c>
    </row>
    <row r="49" spans="2:36" x14ac:dyDescent="0.35">
      <c r="B49" s="7" t="s">
        <v>8</v>
      </c>
      <c r="C49" s="10">
        <f>EC!C49</f>
        <v>0.85</v>
      </c>
      <c r="D49" s="10">
        <f>EC!D49</f>
        <v>0.82849596436365047</v>
      </c>
      <c r="E49" s="9">
        <f>ARR!W51</f>
        <v>533.33125549114652</v>
      </c>
      <c r="F49" s="9">
        <f>'O&amp;M (Summary)'!W51</f>
        <v>35.86</v>
      </c>
      <c r="G49" s="9">
        <f t="shared" si="25"/>
        <v>497.47125549114651</v>
      </c>
      <c r="H49" s="9">
        <f t="shared" si="26"/>
        <v>12.430928784272851</v>
      </c>
      <c r="I49" s="97">
        <f t="shared" si="27"/>
        <v>485.04032670687366</v>
      </c>
      <c r="J49" s="97">
        <f t="shared" si="28"/>
        <v>520.90032670687367</v>
      </c>
      <c r="L49" s="115">
        <v>0.82089999999999996</v>
      </c>
      <c r="M49" s="115">
        <v>0.81459999999999999</v>
      </c>
      <c r="N49" s="115">
        <v>0.84050000000000002</v>
      </c>
      <c r="O49" s="115">
        <v>0.83120000000000005</v>
      </c>
      <c r="P49" s="97">
        <f t="shared" si="29"/>
        <v>24.873562774557328</v>
      </c>
      <c r="Q49" s="97">
        <f t="shared" si="30"/>
        <v>99.494251098229313</v>
      </c>
      <c r="R49" s="97">
        <f t="shared" si="31"/>
        <v>74.62068832367197</v>
      </c>
      <c r="S49" s="97">
        <f t="shared" si="32"/>
        <v>298.48275329468788</v>
      </c>
      <c r="T49" s="9">
        <f t="shared" si="33"/>
        <v>24.022009037216602</v>
      </c>
      <c r="U49" s="9">
        <f t="shared" si="33"/>
        <v>95.350608170138358</v>
      </c>
      <c r="V49" s="9">
        <f t="shared" si="33"/>
        <v>73.786692395348581</v>
      </c>
      <c r="W49" s="9">
        <f t="shared" si="33"/>
        <v>291.8810171041701</v>
      </c>
      <c r="X49" s="9"/>
      <c r="Y49" s="9">
        <f t="shared" si="34"/>
        <v>-4.143642928090955</v>
      </c>
      <c r="Z49" s="9"/>
      <c r="AA49" s="9">
        <f t="shared" si="35"/>
        <v>-6.6017361905177836</v>
      </c>
      <c r="AB49" s="9">
        <f t="shared" si="36"/>
        <v>0</v>
      </c>
      <c r="AC49" s="9"/>
      <c r="AD49" s="9">
        <f t="shared" si="37"/>
        <v>0</v>
      </c>
      <c r="AE49" s="9"/>
      <c r="AF49" s="9"/>
      <c r="AG49" s="9">
        <f t="shared" si="38"/>
        <v>0</v>
      </c>
      <c r="AH49" s="9"/>
      <c r="AI49" s="9">
        <f t="shared" si="39"/>
        <v>0</v>
      </c>
      <c r="AJ49" s="9">
        <f t="shared" si="40"/>
        <v>12.430928784272851</v>
      </c>
    </row>
    <row r="50" spans="2:36" x14ac:dyDescent="0.35">
      <c r="B50" s="7" t="s">
        <v>157</v>
      </c>
      <c r="C50" s="10">
        <f>EC!C50</f>
        <v>0.85</v>
      </c>
      <c r="D50" s="10">
        <f>EC!D50</f>
        <v>0.77809702374267975</v>
      </c>
      <c r="E50" s="9">
        <f>ARR!W52</f>
        <v>1047.2290299697122</v>
      </c>
      <c r="F50" s="9">
        <f>'O&amp;M (Summary)'!W52</f>
        <v>3.1399999999999997</v>
      </c>
      <c r="G50" s="9">
        <f t="shared" si="25"/>
        <v>1044.0890299697121</v>
      </c>
      <c r="H50" s="9">
        <f t="shared" si="26"/>
        <v>88.23780643279315</v>
      </c>
      <c r="I50" s="97">
        <f t="shared" si="27"/>
        <v>955.85122353691895</v>
      </c>
      <c r="J50" s="97">
        <f t="shared" si="28"/>
        <v>958.99122353691894</v>
      </c>
      <c r="L50" s="115">
        <v>0.81399999999999995</v>
      </c>
      <c r="M50" s="115">
        <v>0.80830000000000002</v>
      </c>
      <c r="N50" s="115">
        <v>0.76910000000000001</v>
      </c>
      <c r="O50" s="115">
        <v>0.76739999999999997</v>
      </c>
      <c r="P50" s="97">
        <f t="shared" si="29"/>
        <v>52.204451498485611</v>
      </c>
      <c r="Q50" s="97">
        <f t="shared" si="30"/>
        <v>208.81780599394244</v>
      </c>
      <c r="R50" s="97">
        <f t="shared" si="31"/>
        <v>156.61335449545683</v>
      </c>
      <c r="S50" s="97">
        <f t="shared" si="32"/>
        <v>626.45341798182733</v>
      </c>
      <c r="T50" s="9">
        <f t="shared" si="33"/>
        <v>49.993439435020335</v>
      </c>
      <c r="U50" s="9">
        <f t="shared" si="33"/>
        <v>198.57345009988668</v>
      </c>
      <c r="V50" s="9">
        <f t="shared" si="33"/>
        <v>141.70744816759512</v>
      </c>
      <c r="W50" s="9">
        <f t="shared" si="33"/>
        <v>565.57688583441677</v>
      </c>
      <c r="X50" s="9"/>
      <c r="Y50" s="9">
        <f t="shared" si="34"/>
        <v>-10.244355894055758</v>
      </c>
      <c r="Z50" s="9"/>
      <c r="AA50" s="9">
        <f t="shared" si="35"/>
        <v>-60.876532147410558</v>
      </c>
      <c r="AB50" s="9">
        <f t="shared" si="36"/>
        <v>0</v>
      </c>
      <c r="AC50" s="9"/>
      <c r="AD50" s="9">
        <f t="shared" si="37"/>
        <v>0</v>
      </c>
      <c r="AE50" s="9"/>
      <c r="AF50" s="9"/>
      <c r="AG50" s="9">
        <f t="shared" si="38"/>
        <v>0</v>
      </c>
      <c r="AH50" s="9"/>
      <c r="AI50" s="9">
        <f t="shared" si="39"/>
        <v>0</v>
      </c>
      <c r="AJ50" s="9">
        <f t="shared" si="40"/>
        <v>88.23780643279315</v>
      </c>
    </row>
    <row r="51" spans="2:36" x14ac:dyDescent="0.35">
      <c r="B51" s="7" t="s">
        <v>158</v>
      </c>
      <c r="C51" s="10">
        <f>EC!C51</f>
        <v>0.85</v>
      </c>
      <c r="D51" s="10">
        <f>EC!D51</f>
        <v>0.62995668768420143</v>
      </c>
      <c r="E51" s="9">
        <f>ARR!W53</f>
        <v>2282.9514663864984</v>
      </c>
      <c r="F51" s="9">
        <f>'O&amp;M (Summary)'!W53</f>
        <v>81.8</v>
      </c>
      <c r="G51" s="9">
        <f t="shared" si="25"/>
        <v>2201.1514663864982</v>
      </c>
      <c r="H51" s="9">
        <f t="shared" si="26"/>
        <v>569.56736385220938</v>
      </c>
      <c r="I51" s="97">
        <f t="shared" si="27"/>
        <v>1631.5841025342888</v>
      </c>
      <c r="J51" s="97">
        <f t="shared" si="28"/>
        <v>1713.3841025342888</v>
      </c>
      <c r="L51" s="115">
        <v>0.63009999999999999</v>
      </c>
      <c r="M51" s="115">
        <v>0.62860000000000005</v>
      </c>
      <c r="N51" s="115">
        <v>0.63339999999999996</v>
      </c>
      <c r="O51" s="115">
        <v>0.62970000000000004</v>
      </c>
      <c r="P51" s="97">
        <f t="shared" si="29"/>
        <v>110.05757331932492</v>
      </c>
      <c r="Q51" s="97">
        <f t="shared" si="30"/>
        <v>440.23029327729967</v>
      </c>
      <c r="R51" s="97">
        <f t="shared" si="31"/>
        <v>330.17271995797478</v>
      </c>
      <c r="S51" s="97">
        <f t="shared" si="32"/>
        <v>1320.6908798318991</v>
      </c>
      <c r="T51" s="9">
        <f t="shared" si="33"/>
        <v>81.585031704125456</v>
      </c>
      <c r="U51" s="9">
        <f t="shared" si="33"/>
        <v>325.56324982836543</v>
      </c>
      <c r="V51" s="9">
        <f t="shared" si="33"/>
        <v>246.03694214280142</v>
      </c>
      <c r="W51" s="9">
        <f t="shared" si="33"/>
        <v>978.39887885899645</v>
      </c>
      <c r="X51" s="9"/>
      <c r="Y51" s="9">
        <f t="shared" si="34"/>
        <v>-114.66704344893424</v>
      </c>
      <c r="Z51" s="9"/>
      <c r="AA51" s="9">
        <f t="shared" si="35"/>
        <v>-342.29200097290266</v>
      </c>
      <c r="AB51" s="9">
        <f t="shared" si="36"/>
        <v>0</v>
      </c>
      <c r="AC51" s="9"/>
      <c r="AD51" s="9">
        <f t="shared" si="37"/>
        <v>0</v>
      </c>
      <c r="AE51" s="9"/>
      <c r="AF51" s="9"/>
      <c r="AG51" s="9">
        <f t="shared" si="38"/>
        <v>0</v>
      </c>
      <c r="AH51" s="9"/>
      <c r="AI51" s="9">
        <f t="shared" si="39"/>
        <v>0</v>
      </c>
      <c r="AJ51" s="9">
        <f t="shared" si="40"/>
        <v>569.56736385220938</v>
      </c>
    </row>
    <row r="52" spans="2:36" x14ac:dyDescent="0.35">
      <c r="B52" s="7" t="s">
        <v>159</v>
      </c>
      <c r="C52" s="10">
        <f>EC!C52</f>
        <v>0.85</v>
      </c>
      <c r="D52" s="10">
        <f>EC!D52</f>
        <v>0.74803308923192136</v>
      </c>
      <c r="E52" s="9">
        <f>ARR!W54</f>
        <v>1170.3140425795311</v>
      </c>
      <c r="F52" s="9">
        <f>'O&amp;M (Summary)'!W54</f>
        <v>5.71</v>
      </c>
      <c r="G52" s="9">
        <f t="shared" si="25"/>
        <v>1164.6040425795311</v>
      </c>
      <c r="H52" s="9">
        <f t="shared" si="26"/>
        <v>139.57436919714928</v>
      </c>
      <c r="I52" s="97">
        <f t="shared" si="27"/>
        <v>1025.0296733823818</v>
      </c>
      <c r="J52" s="97">
        <f t="shared" si="28"/>
        <v>1030.7396733823819</v>
      </c>
      <c r="L52" s="115">
        <v>0.82669999999999999</v>
      </c>
      <c r="M52" s="115">
        <v>0.82430000000000003</v>
      </c>
      <c r="N52" s="115">
        <v>0.72609999999999997</v>
      </c>
      <c r="O52" s="115">
        <v>0.72170000000000001</v>
      </c>
      <c r="P52" s="97">
        <f t="shared" si="29"/>
        <v>58.230202128976558</v>
      </c>
      <c r="Q52" s="97">
        <f t="shared" si="30"/>
        <v>232.92080851590623</v>
      </c>
      <c r="R52" s="97">
        <f t="shared" si="31"/>
        <v>174.69060638692969</v>
      </c>
      <c r="S52" s="97">
        <f t="shared" si="32"/>
        <v>698.76242554771875</v>
      </c>
      <c r="T52" s="9">
        <f t="shared" si="33"/>
        <v>56.63400952944108</v>
      </c>
      <c r="U52" s="9">
        <f t="shared" si="33"/>
        <v>225.87837936430765</v>
      </c>
      <c r="V52" s="9">
        <f t="shared" si="33"/>
        <v>149.22688152652901</v>
      </c>
      <c r="W52" s="9">
        <f t="shared" si="33"/>
        <v>593.29040296210428</v>
      </c>
      <c r="X52" s="9"/>
      <c r="Y52" s="9">
        <f t="shared" si="34"/>
        <v>-7.0424291515985828</v>
      </c>
      <c r="Z52" s="9"/>
      <c r="AA52" s="9">
        <f t="shared" si="35"/>
        <v>-105.47202258561447</v>
      </c>
      <c r="AB52" s="9">
        <f t="shared" si="36"/>
        <v>0</v>
      </c>
      <c r="AC52" s="9"/>
      <c r="AD52" s="9">
        <f t="shared" si="37"/>
        <v>0</v>
      </c>
      <c r="AE52" s="9"/>
      <c r="AF52" s="9"/>
      <c r="AG52" s="9">
        <f t="shared" si="38"/>
        <v>0</v>
      </c>
      <c r="AH52" s="9"/>
      <c r="AI52" s="9">
        <f t="shared" si="39"/>
        <v>0</v>
      </c>
      <c r="AJ52" s="9">
        <f t="shared" si="40"/>
        <v>139.57436919714928</v>
      </c>
    </row>
    <row r="53" spans="2:36" x14ac:dyDescent="0.35">
      <c r="B53" s="7" t="s">
        <v>160</v>
      </c>
      <c r="C53" s="10">
        <f>EC!C53</f>
        <v>0.85</v>
      </c>
      <c r="D53" s="10">
        <f>EC!D53</f>
        <v>0.80321608143949785</v>
      </c>
      <c r="E53" s="9">
        <f>ARR!W55</f>
        <v>363.26025631245977</v>
      </c>
      <c r="F53" s="9">
        <f>'O&amp;M (Summary)'!W55</f>
        <v>8.4499999999999993</v>
      </c>
      <c r="G53" s="9">
        <f t="shared" si="25"/>
        <v>354.81025631245979</v>
      </c>
      <c r="H53" s="9">
        <f t="shared" si="26"/>
        <v>19.6502268422459</v>
      </c>
      <c r="I53" s="97">
        <f t="shared" si="27"/>
        <v>335.16002947021389</v>
      </c>
      <c r="J53" s="97">
        <f t="shared" si="28"/>
        <v>343.61002947021387</v>
      </c>
      <c r="L53" s="115">
        <v>0.78769999999999996</v>
      </c>
      <c r="M53" s="115">
        <v>0.79910000000000003</v>
      </c>
      <c r="N53" s="115">
        <v>0.79920000000000002</v>
      </c>
      <c r="O53" s="115">
        <v>0.80640000000000001</v>
      </c>
      <c r="P53" s="97">
        <f t="shared" si="29"/>
        <v>17.740512815622989</v>
      </c>
      <c r="Q53" s="97">
        <f t="shared" si="30"/>
        <v>70.962051262491954</v>
      </c>
      <c r="R53" s="97">
        <f t="shared" si="31"/>
        <v>53.221538446868969</v>
      </c>
      <c r="S53" s="97">
        <f t="shared" si="32"/>
        <v>212.88615378747588</v>
      </c>
      <c r="T53" s="9">
        <f t="shared" si="33"/>
        <v>16.440237582195561</v>
      </c>
      <c r="U53" s="9">
        <f t="shared" si="33"/>
        <v>66.712676663361563</v>
      </c>
      <c r="V53" s="9">
        <f t="shared" si="33"/>
        <v>50.040768854985508</v>
      </c>
      <c r="W53" s="9">
        <f t="shared" si="33"/>
        <v>201.96634636967124</v>
      </c>
      <c r="X53" s="9"/>
      <c r="Y53" s="9">
        <f t="shared" si="34"/>
        <v>-4.2493745991303911</v>
      </c>
      <c r="Z53" s="9"/>
      <c r="AA53" s="9">
        <f t="shared" si="35"/>
        <v>-10.919807417804634</v>
      </c>
      <c r="AB53" s="9">
        <f t="shared" si="36"/>
        <v>0</v>
      </c>
      <c r="AC53" s="9"/>
      <c r="AD53" s="9">
        <f t="shared" si="37"/>
        <v>0</v>
      </c>
      <c r="AE53" s="9"/>
      <c r="AF53" s="9"/>
      <c r="AG53" s="9">
        <f t="shared" si="38"/>
        <v>0</v>
      </c>
      <c r="AH53" s="9"/>
      <c r="AI53" s="9">
        <f t="shared" si="39"/>
        <v>0</v>
      </c>
      <c r="AJ53" s="9">
        <f t="shared" si="40"/>
        <v>19.6502268422459</v>
      </c>
    </row>
    <row r="54" spans="2:36" x14ac:dyDescent="0.35">
      <c r="B54" s="12" t="s">
        <v>27</v>
      </c>
      <c r="C54" s="7"/>
      <c r="D54" s="7"/>
      <c r="E54" s="13">
        <f>SUM(E41:E53)</f>
        <v>8762.6662120081946</v>
      </c>
      <c r="F54" s="13">
        <f t="shared" ref="F54:J54" si="41">SUM(F41:F53)</f>
        <v>288.60999999999996</v>
      </c>
      <c r="G54" s="13">
        <f t="shared" si="41"/>
        <v>8474.0562120081941</v>
      </c>
      <c r="H54" s="13">
        <f t="shared" si="41"/>
        <v>1403.7470236378576</v>
      </c>
      <c r="I54" s="13">
        <f t="shared" si="41"/>
        <v>7070.3091883703355</v>
      </c>
      <c r="J54" s="13">
        <f t="shared" si="41"/>
        <v>7358.9191883703361</v>
      </c>
      <c r="L54" s="7"/>
      <c r="M54" s="7"/>
      <c r="N54" s="7"/>
      <c r="O54" s="7"/>
      <c r="P54" s="13">
        <f>SUM(P41:P53)</f>
        <v>415.52978138706686</v>
      </c>
      <c r="Q54" s="13">
        <f t="shared" ref="Q54:AJ54" si="42">SUM(Q41:Q53)</f>
        <v>1662.1191255482674</v>
      </c>
      <c r="R54" s="13">
        <f t="shared" si="42"/>
        <v>1246.5893441612006</v>
      </c>
      <c r="S54" s="13">
        <f t="shared" si="42"/>
        <v>4986.3573766448026</v>
      </c>
      <c r="T54" s="13">
        <f t="shared" si="42"/>
        <v>353.44503266612747</v>
      </c>
      <c r="U54" s="13">
        <f t="shared" si="42"/>
        <v>1411.6338352148507</v>
      </c>
      <c r="V54" s="13">
        <f t="shared" si="42"/>
        <v>1029.6735454928057</v>
      </c>
      <c r="W54" s="13">
        <f t="shared" si="42"/>
        <v>4112.096190729696</v>
      </c>
      <c r="X54" s="13">
        <f t="shared" si="42"/>
        <v>0</v>
      </c>
      <c r="Y54" s="13">
        <f t="shared" si="42"/>
        <v>-250.48529033341705</v>
      </c>
      <c r="Z54" s="13">
        <f t="shared" si="42"/>
        <v>0</v>
      </c>
      <c r="AA54" s="13">
        <f t="shared" si="42"/>
        <v>-874.26118591510658</v>
      </c>
      <c r="AB54" s="13">
        <f t="shared" si="42"/>
        <v>2.0126618275546022</v>
      </c>
      <c r="AC54" s="13">
        <f t="shared" si="42"/>
        <v>0</v>
      </c>
      <c r="AD54" s="13">
        <f t="shared" si="42"/>
        <v>2.3541950833944512</v>
      </c>
      <c r="AE54" s="13">
        <f t="shared" si="42"/>
        <v>0</v>
      </c>
      <c r="AF54" s="13">
        <f t="shared" si="42"/>
        <v>0</v>
      </c>
      <c r="AG54" s="13">
        <f t="shared" si="42"/>
        <v>0</v>
      </c>
      <c r="AH54" s="13">
        <f t="shared" si="42"/>
        <v>0</v>
      </c>
      <c r="AI54" s="13">
        <f t="shared" si="42"/>
        <v>0</v>
      </c>
      <c r="AJ54" s="13">
        <f t="shared" si="42"/>
        <v>1403.7470236378576</v>
      </c>
    </row>
    <row r="56" spans="2:36" x14ac:dyDescent="0.35">
      <c r="B56" s="3" t="s">
        <v>402</v>
      </c>
    </row>
    <row r="57" spans="2:36" ht="30" x14ac:dyDescent="0.35">
      <c r="B57" s="150" t="s">
        <v>170</v>
      </c>
      <c r="C57" s="6" t="s">
        <v>29</v>
      </c>
      <c r="D57" s="6" t="s">
        <v>403</v>
      </c>
      <c r="E57" s="96" t="s">
        <v>384</v>
      </c>
      <c r="F57" s="96" t="s">
        <v>385</v>
      </c>
      <c r="G57" s="96" t="s">
        <v>386</v>
      </c>
      <c r="H57" s="96" t="s">
        <v>387</v>
      </c>
      <c r="I57" s="96" t="s">
        <v>388</v>
      </c>
      <c r="J57" s="96" t="s">
        <v>389</v>
      </c>
    </row>
    <row r="58" spans="2:36" x14ac:dyDescent="0.35">
      <c r="B58" s="151"/>
      <c r="C58" s="6" t="s">
        <v>16</v>
      </c>
      <c r="D58" s="6" t="s">
        <v>16</v>
      </c>
      <c r="E58" s="6" t="s">
        <v>14</v>
      </c>
      <c r="F58" s="6" t="s">
        <v>14</v>
      </c>
      <c r="G58" s="6" t="s">
        <v>14</v>
      </c>
      <c r="H58" s="6" t="s">
        <v>14</v>
      </c>
      <c r="I58" s="6" t="s">
        <v>14</v>
      </c>
      <c r="J58" s="6" t="s">
        <v>14</v>
      </c>
    </row>
    <row r="59" spans="2:36" x14ac:dyDescent="0.35">
      <c r="B59" s="7" t="s">
        <v>43</v>
      </c>
      <c r="C59" s="10">
        <f>EC!C59</f>
        <v>0.8</v>
      </c>
      <c r="D59" s="10">
        <f>EC!D59</f>
        <v>0.62463156109562368</v>
      </c>
      <c r="E59" s="9">
        <f ca="1">ARR!W62</f>
        <v>154.09127807426137</v>
      </c>
      <c r="F59" s="9">
        <f>'O&amp;M (Summary)'!O62</f>
        <v>11.26</v>
      </c>
      <c r="G59" s="9">
        <f ca="1">E59-F59</f>
        <v>142.83127807426138</v>
      </c>
      <c r="H59" s="9">
        <f ca="1">G59-I59</f>
        <v>31.310122828250115</v>
      </c>
      <c r="I59" s="97">
        <f ca="1">MIN(D59/C59,1)*G59</f>
        <v>111.52115524601126</v>
      </c>
      <c r="J59" s="97">
        <f ca="1">I59+F59</f>
        <v>122.78115524601127</v>
      </c>
    </row>
    <row r="60" spans="2:36" x14ac:dyDescent="0.35">
      <c r="B60" s="7" t="s">
        <v>150</v>
      </c>
      <c r="C60" s="10">
        <f>EC!C60</f>
        <v>0.8</v>
      </c>
      <c r="D60" s="10">
        <f>EC!D60</f>
        <v>0.69669179034836737</v>
      </c>
      <c r="E60" s="9">
        <f ca="1">ARR!W63</f>
        <v>1075.1878111504043</v>
      </c>
      <c r="F60" s="9">
        <f>'O&amp;M (Summary)'!O63</f>
        <v>10.969999999999999</v>
      </c>
      <c r="G60" s="9">
        <f t="shared" ref="G60:G71" ca="1" si="43">E60-F60</f>
        <v>1064.2178111504043</v>
      </c>
      <c r="H60" s="9">
        <f t="shared" ref="H60:H71" ca="1" si="44">G60-I60</f>
        <v>137.42804593665949</v>
      </c>
      <c r="I60" s="97">
        <f t="shared" ref="I60:I71" ca="1" si="45">MIN(D60/C60,1)*G60</f>
        <v>926.78976521374477</v>
      </c>
      <c r="J60" s="97">
        <f t="shared" ref="J60:J71" ca="1" si="46">I60+F60</f>
        <v>937.7597652137448</v>
      </c>
    </row>
    <row r="61" spans="2:36" x14ac:dyDescent="0.35">
      <c r="B61" s="7" t="s">
        <v>151</v>
      </c>
      <c r="C61" s="10">
        <f>EC!C61</f>
        <v>0.85</v>
      </c>
      <c r="D61" s="10">
        <f>EC!D61</f>
        <v>0.72104512638832441</v>
      </c>
      <c r="E61" s="9">
        <f ca="1">ARR!W64</f>
        <v>587.39204635896783</v>
      </c>
      <c r="F61" s="9">
        <f>'O&amp;M (Summary)'!O64</f>
        <v>60.089999999999996</v>
      </c>
      <c r="G61" s="9">
        <f t="shared" ca="1" si="43"/>
        <v>527.3020463589678</v>
      </c>
      <c r="H61" s="9">
        <f t="shared" ca="1" si="44"/>
        <v>79.997845580468891</v>
      </c>
      <c r="I61" s="97">
        <f t="shared" ca="1" si="45"/>
        <v>447.30420077849891</v>
      </c>
      <c r="J61" s="97">
        <f t="shared" ca="1" si="46"/>
        <v>507.39420077849888</v>
      </c>
    </row>
    <row r="62" spans="2:36" x14ac:dyDescent="0.35">
      <c r="B62" s="7" t="s">
        <v>44</v>
      </c>
      <c r="C62" s="10">
        <f>EC!C62</f>
        <v>0.72</v>
      </c>
      <c r="D62" s="10">
        <f>EC!D62</f>
        <v>0.72444162027034109</v>
      </c>
      <c r="E62" s="9">
        <f ca="1">ARR!W65</f>
        <v>327.05693032004172</v>
      </c>
      <c r="F62" s="9">
        <f>'O&amp;M (Summary)'!O65</f>
        <v>38.730000000000004</v>
      </c>
      <c r="G62" s="9">
        <f t="shared" ca="1" si="43"/>
        <v>288.3269303200417</v>
      </c>
      <c r="H62" s="9">
        <f t="shared" ca="1" si="44"/>
        <v>0</v>
      </c>
      <c r="I62" s="97">
        <f t="shared" ca="1" si="45"/>
        <v>288.3269303200417</v>
      </c>
      <c r="J62" s="97">
        <f t="shared" ca="1" si="46"/>
        <v>327.05693032004172</v>
      </c>
    </row>
    <row r="63" spans="2:36" x14ac:dyDescent="0.35">
      <c r="B63" s="7" t="s">
        <v>152</v>
      </c>
      <c r="C63" s="10">
        <f>EC!C63</f>
        <v>0.8</v>
      </c>
      <c r="D63" s="10">
        <f>EC!D63</f>
        <v>0.67131893456070124</v>
      </c>
      <c r="E63" s="9">
        <f ca="1">ARR!W66</f>
        <v>438.45125750787713</v>
      </c>
      <c r="F63" s="9">
        <f>'O&amp;M (Summary)'!O66</f>
        <v>13.58</v>
      </c>
      <c r="G63" s="9">
        <f t="shared" ca="1" si="43"/>
        <v>424.87125750787715</v>
      </c>
      <c r="H63" s="9">
        <f t="shared" ca="1" si="44"/>
        <v>68.341107613310385</v>
      </c>
      <c r="I63" s="97">
        <f t="shared" ca="1" si="45"/>
        <v>356.53014989456676</v>
      </c>
      <c r="J63" s="97">
        <f t="shared" ca="1" si="46"/>
        <v>370.11014989456675</v>
      </c>
    </row>
    <row r="64" spans="2:36" x14ac:dyDescent="0.35">
      <c r="B64" s="7" t="s">
        <v>154</v>
      </c>
      <c r="C64" s="10">
        <f>D64</f>
        <v>0.29602377704918031</v>
      </c>
      <c r="D64" s="10">
        <f>EC!D64</f>
        <v>0.29602377704918031</v>
      </c>
      <c r="E64" s="9">
        <f ca="1">ARR!W67</f>
        <v>195.7115070676233</v>
      </c>
      <c r="F64" s="9">
        <f>'O&amp;M (Summary)'!O67</f>
        <v>1.1200000000000001</v>
      </c>
      <c r="G64" s="9">
        <f t="shared" ca="1" si="43"/>
        <v>194.5915070676233</v>
      </c>
      <c r="H64" s="9">
        <v>0</v>
      </c>
      <c r="I64" s="97">
        <f t="shared" ca="1" si="45"/>
        <v>194.5915070676233</v>
      </c>
      <c r="J64" s="97">
        <f t="shared" ca="1" si="46"/>
        <v>195.7115070676233</v>
      </c>
    </row>
    <row r="65" spans="2:10" x14ac:dyDescent="0.35">
      <c r="B65" s="7" t="s">
        <v>155</v>
      </c>
      <c r="C65" s="10">
        <f>EC!C65</f>
        <v>0.85</v>
      </c>
      <c r="D65" s="10">
        <f>EC!D65</f>
        <v>0.78150424745107372</v>
      </c>
      <c r="E65" s="9">
        <f ca="1">ARR!W68</f>
        <v>460.5686089373641</v>
      </c>
      <c r="F65" s="9">
        <f>'O&amp;M (Summary)'!O68</f>
        <v>4.2799999999999994</v>
      </c>
      <c r="G65" s="9">
        <f t="shared" ca="1" si="43"/>
        <v>456.28860893736413</v>
      </c>
      <c r="H65" s="9">
        <f t="shared" ca="1" si="44"/>
        <v>36.769213704314666</v>
      </c>
      <c r="I65" s="97">
        <f t="shared" ca="1" si="45"/>
        <v>419.51939523304947</v>
      </c>
      <c r="J65" s="97">
        <f t="shared" ca="1" si="46"/>
        <v>423.79939523304944</v>
      </c>
    </row>
    <row r="66" spans="2:10" x14ac:dyDescent="0.35">
      <c r="B66" s="7" t="s">
        <v>156</v>
      </c>
      <c r="C66" s="10">
        <f>EC!C66</f>
        <v>0.85</v>
      </c>
      <c r="D66" s="10">
        <f>EC!D66</f>
        <v>0.78864883141751174</v>
      </c>
      <c r="E66" s="9">
        <f ca="1">ARR!W69</f>
        <v>455.60701150123646</v>
      </c>
      <c r="F66" s="9">
        <f>'O&amp;M (Summary)'!O69</f>
        <v>13.62</v>
      </c>
      <c r="G66" s="9">
        <f t="shared" ca="1" si="43"/>
        <v>441.98701150123645</v>
      </c>
      <c r="H66" s="9">
        <f t="shared" ca="1" si="44"/>
        <v>31.901670181038298</v>
      </c>
      <c r="I66" s="97">
        <f t="shared" ca="1" si="45"/>
        <v>410.08534132019815</v>
      </c>
      <c r="J66" s="97">
        <f t="shared" ca="1" si="46"/>
        <v>423.70534132019816</v>
      </c>
    </row>
    <row r="67" spans="2:10" x14ac:dyDescent="0.35">
      <c r="B67" s="7" t="s">
        <v>8</v>
      </c>
      <c r="C67" s="10">
        <f>EC!C67</f>
        <v>0.85</v>
      </c>
      <c r="D67" s="10">
        <f>EC!D67</f>
        <v>0.86417742018481836</v>
      </c>
      <c r="E67" s="9">
        <f ca="1">ARR!W70</f>
        <v>531.74374352592679</v>
      </c>
      <c r="F67" s="9">
        <f>'O&amp;M (Summary)'!O70</f>
        <v>35.86</v>
      </c>
      <c r="G67" s="9">
        <f t="shared" ca="1" si="43"/>
        <v>495.88374352592677</v>
      </c>
      <c r="H67" s="9">
        <f t="shared" ca="1" si="44"/>
        <v>0</v>
      </c>
      <c r="I67" s="97">
        <f t="shared" ca="1" si="45"/>
        <v>495.88374352592677</v>
      </c>
      <c r="J67" s="97">
        <f t="shared" ca="1" si="46"/>
        <v>531.74374352592679</v>
      </c>
    </row>
    <row r="68" spans="2:10" x14ac:dyDescent="0.35">
      <c r="B68" s="7" t="s">
        <v>157</v>
      </c>
      <c r="C68" s="10">
        <f>EC!C68</f>
        <v>0.85</v>
      </c>
      <c r="D68" s="10">
        <f>EC!D68</f>
        <v>0.74844830643468885</v>
      </c>
      <c r="E68" s="9">
        <f ca="1">ARR!W71</f>
        <v>1039.2518553882862</v>
      </c>
      <c r="F68" s="9">
        <f>'O&amp;M (Summary)'!O71</f>
        <v>3.1399999999999997</v>
      </c>
      <c r="G68" s="9">
        <f t="shared" ca="1" si="43"/>
        <v>1036.1118553882861</v>
      </c>
      <c r="H68" s="9">
        <f t="shared" ca="1" si="44"/>
        <v>123.78695722091436</v>
      </c>
      <c r="I68" s="97">
        <f t="shared" ca="1" si="45"/>
        <v>912.32489816737177</v>
      </c>
      <c r="J68" s="97">
        <f t="shared" ca="1" si="46"/>
        <v>915.46489816737176</v>
      </c>
    </row>
    <row r="69" spans="2:10" x14ac:dyDescent="0.35">
      <c r="B69" s="7" t="s">
        <v>158</v>
      </c>
      <c r="C69" s="10">
        <f>EC!C69</f>
        <v>0.85</v>
      </c>
      <c r="D69" s="10">
        <f>EC!D69</f>
        <v>0.71275057370778627</v>
      </c>
      <c r="E69" s="9">
        <f ca="1">ARR!W72</f>
        <v>2224.5143445648355</v>
      </c>
      <c r="F69" s="9">
        <f>'O&amp;M (Summary)'!O72</f>
        <v>81.8</v>
      </c>
      <c r="G69" s="9">
        <f t="shared" ca="1" si="43"/>
        <v>2142.7143445648353</v>
      </c>
      <c r="H69" s="9">
        <f t="shared" ca="1" si="44"/>
        <v>345.98389941131813</v>
      </c>
      <c r="I69" s="97">
        <f t="shared" ca="1" si="45"/>
        <v>1796.7304451535172</v>
      </c>
      <c r="J69" s="97">
        <f t="shared" ca="1" si="46"/>
        <v>1878.5304451535171</v>
      </c>
    </row>
    <row r="70" spans="2:10" x14ac:dyDescent="0.35">
      <c r="B70" s="7" t="s">
        <v>159</v>
      </c>
      <c r="C70" s="10">
        <f>EC!C70</f>
        <v>0.85</v>
      </c>
      <c r="D70" s="10">
        <f>EC!D70</f>
        <v>0.8112853736732627</v>
      </c>
      <c r="E70" s="9">
        <f ca="1">ARR!W73</f>
        <v>1187.595413303424</v>
      </c>
      <c r="F70" s="9">
        <f>'O&amp;M (Summary)'!O73</f>
        <v>5.71</v>
      </c>
      <c r="G70" s="9">
        <f t="shared" ca="1" si="43"/>
        <v>1181.885413303424</v>
      </c>
      <c r="H70" s="9">
        <f t="shared" ca="1" si="44"/>
        <v>53.830884867133591</v>
      </c>
      <c r="I70" s="97">
        <f t="shared" ca="1" si="45"/>
        <v>1128.0545284362904</v>
      </c>
      <c r="J70" s="97">
        <f t="shared" ca="1" si="46"/>
        <v>1133.7645284362904</v>
      </c>
    </row>
    <row r="71" spans="2:10" x14ac:dyDescent="0.35">
      <c r="B71" s="7" t="s">
        <v>160</v>
      </c>
      <c r="C71" s="10">
        <f>EC!C71</f>
        <v>0.85</v>
      </c>
      <c r="D71" s="10">
        <f>EC!D71</f>
        <v>0.65559346931688534</v>
      </c>
      <c r="E71" s="9">
        <f ca="1">ARR!W74</f>
        <v>375.20063635048842</v>
      </c>
      <c r="F71" s="9">
        <f>'O&amp;M (Summary)'!O74</f>
        <v>8.4499999999999993</v>
      </c>
      <c r="G71" s="9">
        <f t="shared" ca="1" si="43"/>
        <v>366.75063635048843</v>
      </c>
      <c r="H71" s="9">
        <f t="shared" ca="1" si="44"/>
        <v>83.880845692615367</v>
      </c>
      <c r="I71" s="97">
        <f t="shared" ca="1" si="45"/>
        <v>282.86979065787307</v>
      </c>
      <c r="J71" s="97">
        <f t="shared" ca="1" si="46"/>
        <v>291.31979065787306</v>
      </c>
    </row>
    <row r="72" spans="2:10" x14ac:dyDescent="0.35">
      <c r="B72" s="12" t="s">
        <v>27</v>
      </c>
      <c r="C72" s="7"/>
      <c r="D72" s="7"/>
      <c r="E72" s="13">
        <f ca="1">SUM(E59:E71)</f>
        <v>9052.3724440507376</v>
      </c>
      <c r="F72" s="13">
        <f t="shared" ref="F72:J72" si="47">SUM(F59:F71)</f>
        <v>288.60999999999996</v>
      </c>
      <c r="G72" s="13">
        <f t="shared" ca="1" si="47"/>
        <v>8763.762444050737</v>
      </c>
      <c r="H72" s="13">
        <f t="shared" ca="1" si="47"/>
        <v>993.23059303602327</v>
      </c>
      <c r="I72" s="13">
        <f t="shared" ca="1" si="47"/>
        <v>7770.5318510147135</v>
      </c>
      <c r="J72" s="13">
        <f t="shared" ca="1" si="47"/>
        <v>8059.141851014715</v>
      </c>
    </row>
    <row r="74" spans="2:10" x14ac:dyDescent="0.35">
      <c r="B74" s="3" t="s">
        <v>404</v>
      </c>
    </row>
    <row r="75" spans="2:10" ht="30" x14ac:dyDescent="0.35">
      <c r="B75" s="150" t="s">
        <v>170</v>
      </c>
      <c r="C75" s="6" t="s">
        <v>29</v>
      </c>
      <c r="D75" s="6" t="s">
        <v>405</v>
      </c>
      <c r="E75" s="96" t="s">
        <v>384</v>
      </c>
      <c r="F75" s="96" t="s">
        <v>385</v>
      </c>
      <c r="G75" s="96" t="s">
        <v>386</v>
      </c>
      <c r="H75" s="96" t="s">
        <v>387</v>
      </c>
      <c r="I75" s="96" t="s">
        <v>388</v>
      </c>
      <c r="J75" s="96" t="s">
        <v>389</v>
      </c>
    </row>
    <row r="76" spans="2:10" x14ac:dyDescent="0.35">
      <c r="B76" s="151"/>
      <c r="C76" s="6" t="s">
        <v>16</v>
      </c>
      <c r="D76" s="6" t="s">
        <v>16</v>
      </c>
      <c r="E76" s="6" t="s">
        <v>14</v>
      </c>
      <c r="F76" s="6" t="s">
        <v>14</v>
      </c>
      <c r="G76" s="6" t="s">
        <v>14</v>
      </c>
      <c r="H76" s="6" t="s">
        <v>14</v>
      </c>
      <c r="I76" s="6" t="s">
        <v>14</v>
      </c>
      <c r="J76" s="6" t="s">
        <v>14</v>
      </c>
    </row>
    <row r="77" spans="2:10" x14ac:dyDescent="0.35">
      <c r="B77" s="7" t="s">
        <v>43</v>
      </c>
      <c r="C77" s="10">
        <f>EC!C77</f>
        <v>0.8</v>
      </c>
      <c r="D77" s="10">
        <f>EC!E77</f>
        <v>0.79752843088717451</v>
      </c>
      <c r="E77" s="9">
        <f ca="1">ARR!W81</f>
        <v>173.67566852013761</v>
      </c>
      <c r="F77" s="9">
        <f>'O&amp;M (Summary)'!O81</f>
        <v>11.26</v>
      </c>
      <c r="G77" s="9">
        <f ca="1">E77-F77</f>
        <v>162.41566852013761</v>
      </c>
      <c r="H77" s="9">
        <f ca="1">G77-I77</f>
        <v>0.50177693719160743</v>
      </c>
      <c r="I77" s="97">
        <f ca="1">MIN(D77/C77,1)*G77</f>
        <v>161.91389158294601</v>
      </c>
      <c r="J77" s="97">
        <f ca="1">I77+F77</f>
        <v>173.173891582946</v>
      </c>
    </row>
    <row r="78" spans="2:10" x14ac:dyDescent="0.35">
      <c r="B78" s="7" t="s">
        <v>150</v>
      </c>
      <c r="C78" s="10">
        <f>EC!C78</f>
        <v>0.8</v>
      </c>
      <c r="D78" s="10">
        <f>EC!E78</f>
        <v>0.6793970788457222</v>
      </c>
      <c r="E78" s="9">
        <f ca="1">ARR!W82</f>
        <v>1153.1108304693078</v>
      </c>
      <c r="F78" s="9">
        <f>'O&amp;M (Summary)'!O82</f>
        <v>10.969999999999999</v>
      </c>
      <c r="G78" s="9">
        <f t="shared" ref="G78:G89" ca="1" si="48">E78-F78</f>
        <v>1142.1408304693077</v>
      </c>
      <c r="H78" s="9">
        <f t="shared" ref="H78:H89" ca="1" si="49">G78-I78</f>
        <v>172.18190065521412</v>
      </c>
      <c r="I78" s="97">
        <f t="shared" ref="I78:I89" ca="1" si="50">MIN(D78/C78,1)*G78</f>
        <v>969.95892981409361</v>
      </c>
      <c r="J78" s="97">
        <f t="shared" ref="J78:J89" ca="1" si="51">I78+F78</f>
        <v>980.92892981409364</v>
      </c>
    </row>
    <row r="79" spans="2:10" x14ac:dyDescent="0.35">
      <c r="B79" s="7" t="s">
        <v>151</v>
      </c>
      <c r="C79" s="10">
        <f>EC!C79</f>
        <v>0.85</v>
      </c>
      <c r="D79" s="10">
        <f>EC!E79</f>
        <v>0.74632241261148435</v>
      </c>
      <c r="E79" s="9">
        <f ca="1">ARR!W83</f>
        <v>676.95993695119648</v>
      </c>
      <c r="F79" s="9">
        <f>'O&amp;M (Summary)'!O83</f>
        <v>60.089999999999996</v>
      </c>
      <c r="G79" s="9">
        <f t="shared" ca="1" si="48"/>
        <v>616.86993695119645</v>
      </c>
      <c r="H79" s="9">
        <f t="shared" ca="1" si="49"/>
        <v>75.241866818359767</v>
      </c>
      <c r="I79" s="97">
        <f t="shared" ca="1" si="50"/>
        <v>541.62807013283668</v>
      </c>
      <c r="J79" s="97">
        <f t="shared" ca="1" si="51"/>
        <v>601.71807013283671</v>
      </c>
    </row>
    <row r="80" spans="2:10" x14ac:dyDescent="0.35">
      <c r="B80" s="7" t="s">
        <v>44</v>
      </c>
      <c r="C80" s="10">
        <f>EC!C80</f>
        <v>0.72</v>
      </c>
      <c r="D80" s="10">
        <f>EC!E80</f>
        <v>0.72</v>
      </c>
      <c r="E80" s="9">
        <f ca="1">ARR!W84</f>
        <v>298.53019778152338</v>
      </c>
      <c r="F80" s="9">
        <f>'O&amp;M (Summary)'!O84</f>
        <v>38.730000000000004</v>
      </c>
      <c r="G80" s="9">
        <f t="shared" ca="1" si="48"/>
        <v>259.80019778152337</v>
      </c>
      <c r="H80" s="9">
        <f t="shared" ca="1" si="49"/>
        <v>0</v>
      </c>
      <c r="I80" s="97">
        <f t="shared" ca="1" si="50"/>
        <v>259.80019778152337</v>
      </c>
      <c r="J80" s="97">
        <f t="shared" ca="1" si="51"/>
        <v>298.53019778152338</v>
      </c>
    </row>
    <row r="81" spans="2:10" x14ac:dyDescent="0.35">
      <c r="B81" s="7" t="s">
        <v>152</v>
      </c>
      <c r="C81" s="10">
        <f>EC!C81</f>
        <v>0.8</v>
      </c>
      <c r="D81" s="10">
        <f>EC!E81</f>
        <v>0.8</v>
      </c>
      <c r="E81" s="9">
        <f ca="1">ARR!W85</f>
        <v>471.52626816859544</v>
      </c>
      <c r="F81" s="9">
        <f>'O&amp;M (Summary)'!O85</f>
        <v>13.58</v>
      </c>
      <c r="G81" s="9">
        <f t="shared" ca="1" si="48"/>
        <v>457.94626816859545</v>
      </c>
      <c r="H81" s="9">
        <f t="shared" ca="1" si="49"/>
        <v>0</v>
      </c>
      <c r="I81" s="97">
        <f t="shared" ca="1" si="50"/>
        <v>457.94626816859545</v>
      </c>
      <c r="J81" s="97">
        <f t="shared" ca="1" si="51"/>
        <v>471.52626816859544</v>
      </c>
    </row>
    <row r="82" spans="2:10" x14ac:dyDescent="0.35">
      <c r="B82" s="7" t="s">
        <v>154</v>
      </c>
      <c r="C82" s="10">
        <f>EC!C82</f>
        <v>0.85</v>
      </c>
      <c r="D82" s="10">
        <f>EC!E82</f>
        <v>0.38107800936059361</v>
      </c>
      <c r="E82" s="9">
        <f ca="1">ARR!W86</f>
        <v>271.49662299345061</v>
      </c>
      <c r="F82" s="9">
        <f>'O&amp;M (Summary)'!O86</f>
        <v>1.1200000000000001</v>
      </c>
      <c r="G82" s="9">
        <f t="shared" ca="1" si="48"/>
        <v>270.37662299345061</v>
      </c>
      <c r="H82" s="9">
        <v>0</v>
      </c>
      <c r="I82" s="97">
        <f t="shared" ca="1" si="50"/>
        <v>121.21715913880453</v>
      </c>
      <c r="J82" s="97">
        <f t="shared" ca="1" si="51"/>
        <v>122.33715913880454</v>
      </c>
    </row>
    <row r="83" spans="2:10" x14ac:dyDescent="0.35">
      <c r="B83" s="7" t="s">
        <v>155</v>
      </c>
      <c r="C83" s="10">
        <f>EC!C83</f>
        <v>0.85</v>
      </c>
      <c r="D83" s="10">
        <f>EC!E83</f>
        <v>0.83700858800411615</v>
      </c>
      <c r="E83" s="9">
        <f ca="1">ARR!W87</f>
        <v>464.24022442067053</v>
      </c>
      <c r="F83" s="9">
        <f>'O&amp;M (Summary)'!O87</f>
        <v>4.2799999999999994</v>
      </c>
      <c r="G83" s="9">
        <f t="shared" ca="1" si="48"/>
        <v>459.96022442067056</v>
      </c>
      <c r="H83" s="9">
        <f t="shared" ca="1" si="49"/>
        <v>7.0300385613742833</v>
      </c>
      <c r="I83" s="97">
        <f t="shared" ca="1" si="50"/>
        <v>452.93018585929627</v>
      </c>
      <c r="J83" s="97">
        <f t="shared" ca="1" si="51"/>
        <v>457.21018585929625</v>
      </c>
    </row>
    <row r="84" spans="2:10" x14ac:dyDescent="0.35">
      <c r="B84" s="7" t="s">
        <v>156</v>
      </c>
      <c r="C84" s="10">
        <f>EC!C84</f>
        <v>0.85</v>
      </c>
      <c r="D84" s="10">
        <f>EC!E84</f>
        <v>0.85</v>
      </c>
      <c r="E84" s="9">
        <f ca="1">ARR!W88</f>
        <v>462.65137728470108</v>
      </c>
      <c r="F84" s="9">
        <f>'O&amp;M (Summary)'!O88</f>
        <v>13.62</v>
      </c>
      <c r="G84" s="9">
        <f t="shared" ca="1" si="48"/>
        <v>449.03137728470108</v>
      </c>
      <c r="H84" s="9">
        <f t="shared" ca="1" si="49"/>
        <v>0</v>
      </c>
      <c r="I84" s="97">
        <f t="shared" ca="1" si="50"/>
        <v>449.03137728470108</v>
      </c>
      <c r="J84" s="97">
        <f t="shared" ca="1" si="51"/>
        <v>462.65137728470108</v>
      </c>
    </row>
    <row r="85" spans="2:10" x14ac:dyDescent="0.35">
      <c r="B85" s="7" t="s">
        <v>8</v>
      </c>
      <c r="C85" s="10">
        <f>EC!C85</f>
        <v>0.85</v>
      </c>
      <c r="D85" s="10">
        <f>EC!E85</f>
        <v>0.85</v>
      </c>
      <c r="E85" s="9">
        <f ca="1">ARR!W89</f>
        <v>555.32180611989531</v>
      </c>
      <c r="F85" s="9">
        <f>'O&amp;M (Summary)'!O89</f>
        <v>35.86</v>
      </c>
      <c r="G85" s="9">
        <f t="shared" ca="1" si="48"/>
        <v>519.4618061198953</v>
      </c>
      <c r="H85" s="9">
        <f t="shared" ca="1" si="49"/>
        <v>0</v>
      </c>
      <c r="I85" s="97">
        <f t="shared" ca="1" si="50"/>
        <v>519.4618061198953</v>
      </c>
      <c r="J85" s="97">
        <f t="shared" ca="1" si="51"/>
        <v>555.32180611989531</v>
      </c>
    </row>
    <row r="86" spans="2:10" x14ac:dyDescent="0.35">
      <c r="B86" s="7" t="s">
        <v>157</v>
      </c>
      <c r="C86" s="10">
        <f>EC!C86</f>
        <v>0.85</v>
      </c>
      <c r="D86" s="10">
        <f>EC!E86</f>
        <v>0.85</v>
      </c>
      <c r="E86" s="9">
        <f ca="1">ARR!W90</f>
        <v>1032.9964803477101</v>
      </c>
      <c r="F86" s="9">
        <f>'O&amp;M (Summary)'!O90</f>
        <v>3.1399999999999997</v>
      </c>
      <c r="G86" s="9">
        <f t="shared" ca="1" si="48"/>
        <v>1029.85648034771</v>
      </c>
      <c r="H86" s="9">
        <f t="shared" ca="1" si="49"/>
        <v>0</v>
      </c>
      <c r="I86" s="97">
        <f t="shared" ca="1" si="50"/>
        <v>1029.85648034771</v>
      </c>
      <c r="J86" s="97">
        <f t="shared" ca="1" si="51"/>
        <v>1032.9964803477101</v>
      </c>
    </row>
    <row r="87" spans="2:10" x14ac:dyDescent="0.35">
      <c r="B87" s="7" t="s">
        <v>158</v>
      </c>
      <c r="C87" s="10">
        <f>EC!C87</f>
        <v>0.85</v>
      </c>
      <c r="D87" s="10">
        <f>EC!E87</f>
        <v>0.71684271338041483</v>
      </c>
      <c r="E87" s="9">
        <f ca="1">ARR!W91</f>
        <v>2292.418046143297</v>
      </c>
      <c r="F87" s="9">
        <f>'O&amp;M (Summary)'!O91</f>
        <v>81.8</v>
      </c>
      <c r="G87" s="9">
        <f t="shared" ca="1" si="48"/>
        <v>2210.6180461432969</v>
      </c>
      <c r="H87" s="9">
        <f t="shared" ca="1" si="49"/>
        <v>346.30576561968269</v>
      </c>
      <c r="I87" s="97">
        <f t="shared" ca="1" si="50"/>
        <v>1864.3122805236142</v>
      </c>
      <c r="J87" s="97">
        <f t="shared" ca="1" si="51"/>
        <v>1946.1122805236141</v>
      </c>
    </row>
    <row r="88" spans="2:10" x14ac:dyDescent="0.35">
      <c r="B88" s="7" t="s">
        <v>159</v>
      </c>
      <c r="C88" s="10">
        <f>EC!C88</f>
        <v>0.85</v>
      </c>
      <c r="D88" s="10">
        <f>EC!E88</f>
        <v>0.85</v>
      </c>
      <c r="E88" s="9">
        <f ca="1">ARR!W92</f>
        <v>1212.6384831660257</v>
      </c>
      <c r="F88" s="9">
        <f>'O&amp;M (Summary)'!O92</f>
        <v>5.71</v>
      </c>
      <c r="G88" s="9">
        <f t="shared" ca="1" si="48"/>
        <v>1206.9284831660257</v>
      </c>
      <c r="H88" s="9">
        <f t="shared" ca="1" si="49"/>
        <v>0</v>
      </c>
      <c r="I88" s="97">
        <f t="shared" ca="1" si="50"/>
        <v>1206.9284831660257</v>
      </c>
      <c r="J88" s="97">
        <f t="shared" ca="1" si="51"/>
        <v>1212.6384831660257</v>
      </c>
    </row>
    <row r="89" spans="2:10" x14ac:dyDescent="0.35">
      <c r="B89" s="7" t="s">
        <v>160</v>
      </c>
      <c r="C89" s="10">
        <f>EC!C89</f>
        <v>0.85</v>
      </c>
      <c r="D89" s="10">
        <f>EC!E89</f>
        <v>0.85</v>
      </c>
      <c r="E89" s="9">
        <f ca="1">ARR!W93</f>
        <v>384.02883515903358</v>
      </c>
      <c r="F89" s="9">
        <f>'O&amp;M (Summary)'!O93</f>
        <v>8.4499999999999993</v>
      </c>
      <c r="G89" s="9">
        <f t="shared" ca="1" si="48"/>
        <v>375.57883515903359</v>
      </c>
      <c r="H89" s="9">
        <f t="shared" ca="1" si="49"/>
        <v>0</v>
      </c>
      <c r="I89" s="97">
        <f t="shared" ca="1" si="50"/>
        <v>375.57883515903359</v>
      </c>
      <c r="J89" s="97">
        <f t="shared" ca="1" si="51"/>
        <v>384.02883515903358</v>
      </c>
    </row>
    <row r="90" spans="2:10" x14ac:dyDescent="0.35">
      <c r="B90" s="12" t="s">
        <v>27</v>
      </c>
      <c r="C90" s="7"/>
      <c r="D90" s="7"/>
      <c r="E90" s="13">
        <f ca="1">SUM(E77:E89)</f>
        <v>9449.5947775255445</v>
      </c>
      <c r="F90" s="13">
        <f t="shared" ref="F90:J90" si="52">SUM(F77:F89)</f>
        <v>288.60999999999996</v>
      </c>
      <c r="G90" s="13">
        <f t="shared" ca="1" si="52"/>
        <v>9160.9847775255439</v>
      </c>
      <c r="H90" s="13">
        <f t="shared" ca="1" si="52"/>
        <v>601.26134859182253</v>
      </c>
      <c r="I90" s="13">
        <f t="shared" ca="1" si="52"/>
        <v>8410.5639650790763</v>
      </c>
      <c r="J90" s="13">
        <f t="shared" ca="1" si="52"/>
        <v>8699.1739650790751</v>
      </c>
    </row>
    <row r="92" spans="2:10" x14ac:dyDescent="0.35">
      <c r="B92" s="3" t="s">
        <v>406</v>
      </c>
    </row>
    <row r="93" spans="2:10" ht="30" x14ac:dyDescent="0.35">
      <c r="B93" s="150" t="s">
        <v>170</v>
      </c>
      <c r="C93" s="6" t="s">
        <v>29</v>
      </c>
      <c r="D93" s="6" t="s">
        <v>405</v>
      </c>
      <c r="E93" s="96" t="s">
        <v>384</v>
      </c>
      <c r="F93" s="96" t="s">
        <v>385</v>
      </c>
      <c r="G93" s="96" t="s">
        <v>386</v>
      </c>
      <c r="H93" s="96" t="s">
        <v>387</v>
      </c>
      <c r="I93" s="96" t="s">
        <v>388</v>
      </c>
      <c r="J93" s="96" t="s">
        <v>389</v>
      </c>
    </row>
    <row r="94" spans="2:10" x14ac:dyDescent="0.35">
      <c r="B94" s="151"/>
      <c r="C94" s="6" t="s">
        <v>16</v>
      </c>
      <c r="D94" s="6" t="s">
        <v>16</v>
      </c>
      <c r="E94" s="6" t="s">
        <v>14</v>
      </c>
      <c r="F94" s="6" t="s">
        <v>14</v>
      </c>
      <c r="G94" s="6" t="s">
        <v>14</v>
      </c>
      <c r="H94" s="6" t="s">
        <v>14</v>
      </c>
      <c r="I94" s="6" t="s">
        <v>14</v>
      </c>
      <c r="J94" s="6" t="s">
        <v>14</v>
      </c>
    </row>
    <row r="95" spans="2:10" x14ac:dyDescent="0.35">
      <c r="B95" s="7" t="s">
        <v>43</v>
      </c>
      <c r="C95" s="10">
        <f>EC!C95</f>
        <v>0.8</v>
      </c>
      <c r="D95" s="10">
        <f>EC!E95</f>
        <v>0.79752843088717451</v>
      </c>
      <c r="E95" s="9">
        <f ca="1">ARR!W100</f>
        <v>178.34742202415515</v>
      </c>
      <c r="F95" s="9">
        <f>'O&amp;M (Summary)'!O100</f>
        <v>11.26</v>
      </c>
      <c r="G95" s="9">
        <f ca="1">E95-F95</f>
        <v>167.08742202415516</v>
      </c>
      <c r="H95" s="9">
        <f ca="1">G95-I95</f>
        <v>0.51621013927069725</v>
      </c>
      <c r="I95" s="97">
        <f ca="1">MIN(D95/C95,1)*G95</f>
        <v>166.57121188488446</v>
      </c>
      <c r="J95" s="97">
        <f ca="1">I95+F95</f>
        <v>177.83121188488445</v>
      </c>
    </row>
    <row r="96" spans="2:10" x14ac:dyDescent="0.35">
      <c r="B96" s="7" t="s">
        <v>150</v>
      </c>
      <c r="C96" s="10">
        <f>EC!C96</f>
        <v>0.8</v>
      </c>
      <c r="D96" s="10">
        <f>EC!E96</f>
        <v>0.6793970788457222</v>
      </c>
      <c r="E96" s="9">
        <f ca="1">ARR!W101</f>
        <v>1333.7293590092459</v>
      </c>
      <c r="F96" s="9">
        <f>'O&amp;M (Summary)'!O101</f>
        <v>10.969999999999999</v>
      </c>
      <c r="G96" s="9">
        <f t="shared" ref="G96:G107" ca="1" si="53">E96-F96</f>
        <v>1322.7593590092458</v>
      </c>
      <c r="H96" s="9">
        <f t="shared" ref="H96:H107" ca="1" si="54">G96-I96</f>
        <v>199.41080335084393</v>
      </c>
      <c r="I96" s="97">
        <f t="shared" ref="I96:I107" ca="1" si="55">MIN(D96/C96,1)*G96</f>
        <v>1123.3485556584019</v>
      </c>
      <c r="J96" s="97">
        <f t="shared" ref="J96:J107" ca="1" si="56">I96+F96</f>
        <v>1134.3185556584019</v>
      </c>
    </row>
    <row r="97" spans="2:10" x14ac:dyDescent="0.35">
      <c r="B97" s="7" t="s">
        <v>151</v>
      </c>
      <c r="C97" s="10">
        <f>EC!C97</f>
        <v>0.85</v>
      </c>
      <c r="D97" s="10">
        <f>EC!E97</f>
        <v>0.74632241261148435</v>
      </c>
      <c r="E97" s="9">
        <f ca="1">ARR!W102</f>
        <v>722.12023972321992</v>
      </c>
      <c r="F97" s="9">
        <f>'O&amp;M (Summary)'!O102</f>
        <v>60.089999999999996</v>
      </c>
      <c r="G97" s="9">
        <f t="shared" ca="1" si="53"/>
        <v>662.03023972321989</v>
      </c>
      <c r="H97" s="9">
        <f t="shared" ca="1" si="54"/>
        <v>80.750232979698922</v>
      </c>
      <c r="I97" s="97">
        <f t="shared" ca="1" si="55"/>
        <v>581.28000674352097</v>
      </c>
      <c r="J97" s="97">
        <f t="shared" ca="1" si="56"/>
        <v>641.370006743521</v>
      </c>
    </row>
    <row r="98" spans="2:10" x14ac:dyDescent="0.35">
      <c r="B98" s="7" t="s">
        <v>44</v>
      </c>
      <c r="C98" s="10">
        <f>EC!C98</f>
        <v>0.72</v>
      </c>
      <c r="D98" s="10">
        <f>EC!E98</f>
        <v>0.72</v>
      </c>
      <c r="E98" s="9">
        <f ca="1">ARR!W103</f>
        <v>308.25819516335594</v>
      </c>
      <c r="F98" s="9">
        <f>'O&amp;M (Summary)'!O103</f>
        <v>38.730000000000004</v>
      </c>
      <c r="G98" s="9">
        <f t="shared" ca="1" si="53"/>
        <v>269.52819516335592</v>
      </c>
      <c r="H98" s="9">
        <f t="shared" ca="1" si="54"/>
        <v>0</v>
      </c>
      <c r="I98" s="97">
        <f t="shared" ca="1" si="55"/>
        <v>269.52819516335592</v>
      </c>
      <c r="J98" s="97">
        <f t="shared" ca="1" si="56"/>
        <v>308.25819516335594</v>
      </c>
    </row>
    <row r="99" spans="2:10" x14ac:dyDescent="0.35">
      <c r="B99" s="7" t="s">
        <v>152</v>
      </c>
      <c r="C99" s="10">
        <f>EC!C99</f>
        <v>0.8</v>
      </c>
      <c r="D99" s="10">
        <f>EC!E99</f>
        <v>0.8</v>
      </c>
      <c r="E99" s="9">
        <f ca="1">ARR!W104</f>
        <v>492.51479665487534</v>
      </c>
      <c r="F99" s="9">
        <f>'O&amp;M (Summary)'!O104</f>
        <v>13.58</v>
      </c>
      <c r="G99" s="9">
        <f t="shared" ca="1" si="53"/>
        <v>478.93479665487536</v>
      </c>
      <c r="H99" s="9">
        <f t="shared" ca="1" si="54"/>
        <v>0</v>
      </c>
      <c r="I99" s="97">
        <f t="shared" ca="1" si="55"/>
        <v>478.93479665487536</v>
      </c>
      <c r="J99" s="97">
        <f t="shared" ca="1" si="56"/>
        <v>492.51479665487534</v>
      </c>
    </row>
    <row r="100" spans="2:10" x14ac:dyDescent="0.35">
      <c r="B100" s="7" t="s">
        <v>154</v>
      </c>
      <c r="C100" s="10">
        <f>EC!C100</f>
        <v>0.85</v>
      </c>
      <c r="D100" s="10">
        <f>EC!E100</f>
        <v>0.38107800936059361</v>
      </c>
      <c r="E100" s="9">
        <f ca="1">ARR!W105</f>
        <v>283.03442722055917</v>
      </c>
      <c r="F100" s="9">
        <f>'O&amp;M (Summary)'!O105</f>
        <v>1.1200000000000001</v>
      </c>
      <c r="G100" s="9">
        <f t="shared" ca="1" si="53"/>
        <v>281.91442722055916</v>
      </c>
      <c r="H100" s="9">
        <v>0</v>
      </c>
      <c r="I100" s="97">
        <f t="shared" ca="1" si="55"/>
        <v>126.38986910028544</v>
      </c>
      <c r="J100" s="97">
        <f t="shared" ca="1" si="56"/>
        <v>127.50986910028544</v>
      </c>
    </row>
    <row r="101" spans="2:10" x14ac:dyDescent="0.35">
      <c r="B101" s="7" t="s">
        <v>155</v>
      </c>
      <c r="C101" s="10">
        <f>EC!C101</f>
        <v>0.85</v>
      </c>
      <c r="D101" s="10">
        <f>EC!E101</f>
        <v>0.83700858800411615</v>
      </c>
      <c r="E101" s="9">
        <f ca="1">ARR!W106</f>
        <v>571.29939259083528</v>
      </c>
      <c r="F101" s="9">
        <f>'O&amp;M (Summary)'!O106</f>
        <v>4.2799999999999994</v>
      </c>
      <c r="G101" s="9">
        <f t="shared" ca="1" si="53"/>
        <v>567.01939259083531</v>
      </c>
      <c r="H101" s="9">
        <f t="shared" ca="1" si="54"/>
        <v>8.6663323985922034</v>
      </c>
      <c r="I101" s="97">
        <f t="shared" ca="1" si="55"/>
        <v>558.35306019224311</v>
      </c>
      <c r="J101" s="97">
        <f t="shared" ca="1" si="56"/>
        <v>562.63306019224308</v>
      </c>
    </row>
    <row r="102" spans="2:10" x14ac:dyDescent="0.35">
      <c r="B102" s="7" t="s">
        <v>156</v>
      </c>
      <c r="C102" s="10">
        <f>EC!C102</f>
        <v>0.85</v>
      </c>
      <c r="D102" s="10">
        <f>EC!E102</f>
        <v>0.85</v>
      </c>
      <c r="E102" s="9">
        <f ca="1">ARR!W107</f>
        <v>482.25679961871185</v>
      </c>
      <c r="F102" s="9">
        <f>'O&amp;M (Summary)'!O107</f>
        <v>13.62</v>
      </c>
      <c r="G102" s="9">
        <f t="shared" ca="1" si="53"/>
        <v>468.63679961871185</v>
      </c>
      <c r="H102" s="9">
        <f t="shared" ca="1" si="54"/>
        <v>0</v>
      </c>
      <c r="I102" s="97">
        <f t="shared" ca="1" si="55"/>
        <v>468.63679961871185</v>
      </c>
      <c r="J102" s="97">
        <f t="shared" ca="1" si="56"/>
        <v>482.25679961871185</v>
      </c>
    </row>
    <row r="103" spans="2:10" x14ac:dyDescent="0.35">
      <c r="B103" s="7" t="s">
        <v>8</v>
      </c>
      <c r="C103" s="10">
        <f>EC!C103</f>
        <v>0.85</v>
      </c>
      <c r="D103" s="10">
        <f>EC!E103</f>
        <v>0.85</v>
      </c>
      <c r="E103" s="9">
        <f ca="1">ARR!W108</f>
        <v>584.65491824827575</v>
      </c>
      <c r="F103" s="9">
        <f>'O&amp;M (Summary)'!O108</f>
        <v>35.86</v>
      </c>
      <c r="G103" s="9">
        <f t="shared" ca="1" si="53"/>
        <v>548.79491824827574</v>
      </c>
      <c r="H103" s="9">
        <f t="shared" ca="1" si="54"/>
        <v>0</v>
      </c>
      <c r="I103" s="97">
        <f t="shared" ca="1" si="55"/>
        <v>548.79491824827574</v>
      </c>
      <c r="J103" s="97">
        <f t="shared" ca="1" si="56"/>
        <v>584.65491824827575</v>
      </c>
    </row>
    <row r="104" spans="2:10" x14ac:dyDescent="0.35">
      <c r="B104" s="7" t="s">
        <v>157</v>
      </c>
      <c r="C104" s="10">
        <f>EC!C104</f>
        <v>0.85</v>
      </c>
      <c r="D104" s="10">
        <f>EC!E104</f>
        <v>0.85</v>
      </c>
      <c r="E104" s="9">
        <f ca="1">ARR!W109</f>
        <v>1045.8444819825381</v>
      </c>
      <c r="F104" s="9">
        <f>'O&amp;M (Summary)'!O109</f>
        <v>3.1399999999999997</v>
      </c>
      <c r="G104" s="9">
        <f t="shared" ca="1" si="53"/>
        <v>1042.704481982538</v>
      </c>
      <c r="H104" s="9">
        <f t="shared" ca="1" si="54"/>
        <v>0</v>
      </c>
      <c r="I104" s="97">
        <f t="shared" ca="1" si="55"/>
        <v>1042.704481982538</v>
      </c>
      <c r="J104" s="97">
        <f t="shared" ca="1" si="56"/>
        <v>1045.8444819825381</v>
      </c>
    </row>
    <row r="105" spans="2:10" x14ac:dyDescent="0.35">
      <c r="B105" s="7" t="s">
        <v>158</v>
      </c>
      <c r="C105" s="10">
        <f>EC!C105</f>
        <v>0.85</v>
      </c>
      <c r="D105" s="10">
        <f>EC!E105</f>
        <v>0.71684271338041483</v>
      </c>
      <c r="E105" s="9">
        <f ca="1">ARR!W110</f>
        <v>2321.3577537143669</v>
      </c>
      <c r="F105" s="9">
        <f>'O&amp;M (Summary)'!O110</f>
        <v>81.8</v>
      </c>
      <c r="G105" s="9">
        <f t="shared" ca="1" si="53"/>
        <v>2239.5577537143668</v>
      </c>
      <c r="H105" s="9">
        <f t="shared" ca="1" si="54"/>
        <v>350.83933377936251</v>
      </c>
      <c r="I105" s="97">
        <f t="shared" ca="1" si="55"/>
        <v>1888.7184199350042</v>
      </c>
      <c r="J105" s="97">
        <f t="shared" ca="1" si="56"/>
        <v>1970.5184199350042</v>
      </c>
    </row>
    <row r="106" spans="2:10" x14ac:dyDescent="0.35">
      <c r="B106" s="7" t="s">
        <v>159</v>
      </c>
      <c r="C106" s="10">
        <f>EC!C106</f>
        <v>0.85</v>
      </c>
      <c r="D106" s="10">
        <f>EC!E106</f>
        <v>0.85</v>
      </c>
      <c r="E106" s="9">
        <f ca="1">ARR!W111</f>
        <v>1228.2650757305732</v>
      </c>
      <c r="F106" s="9">
        <f>'O&amp;M (Summary)'!O111</f>
        <v>5.71</v>
      </c>
      <c r="G106" s="9">
        <f t="shared" ca="1" si="53"/>
        <v>1222.5550757305732</v>
      </c>
      <c r="H106" s="9">
        <f t="shared" ca="1" si="54"/>
        <v>0</v>
      </c>
      <c r="I106" s="97">
        <f t="shared" ca="1" si="55"/>
        <v>1222.5550757305732</v>
      </c>
      <c r="J106" s="97">
        <f t="shared" ca="1" si="56"/>
        <v>1228.2650757305732</v>
      </c>
    </row>
    <row r="107" spans="2:10" x14ac:dyDescent="0.35">
      <c r="B107" s="7" t="s">
        <v>160</v>
      </c>
      <c r="C107" s="10">
        <f>EC!C107</f>
        <v>0.85</v>
      </c>
      <c r="D107" s="10">
        <f>EC!E107</f>
        <v>0.85</v>
      </c>
      <c r="E107" s="9">
        <f ca="1">ARR!W112</f>
        <v>384.66144463966765</v>
      </c>
      <c r="F107" s="9">
        <f>'O&amp;M (Summary)'!O112</f>
        <v>8.4499999999999993</v>
      </c>
      <c r="G107" s="9">
        <f t="shared" ca="1" si="53"/>
        <v>376.21144463966766</v>
      </c>
      <c r="H107" s="9">
        <f t="shared" ca="1" si="54"/>
        <v>0</v>
      </c>
      <c r="I107" s="97">
        <f t="shared" ca="1" si="55"/>
        <v>376.21144463966766</v>
      </c>
      <c r="J107" s="97">
        <f t="shared" ca="1" si="56"/>
        <v>384.66144463966765</v>
      </c>
    </row>
    <row r="108" spans="2:10" x14ac:dyDescent="0.35">
      <c r="B108" s="12" t="s">
        <v>27</v>
      </c>
      <c r="C108" s="7"/>
      <c r="D108" s="7"/>
      <c r="E108" s="13">
        <f ca="1">SUM(E95:E107)</f>
        <v>9936.3443063203795</v>
      </c>
      <c r="F108" s="13">
        <f t="shared" ref="F108:J108" si="57">SUM(F95:F107)</f>
        <v>288.60999999999996</v>
      </c>
      <c r="G108" s="13">
        <f t="shared" ca="1" si="57"/>
        <v>9647.7343063203789</v>
      </c>
      <c r="H108" s="13">
        <f t="shared" ca="1" si="57"/>
        <v>640.18291264776826</v>
      </c>
      <c r="I108" s="13">
        <f t="shared" ca="1" si="57"/>
        <v>8852.0268355523385</v>
      </c>
      <c r="J108" s="13">
        <f t="shared" ca="1" si="57"/>
        <v>9140.6368355523373</v>
      </c>
    </row>
  </sheetData>
  <mergeCells count="18">
    <mergeCell ref="B57:B58"/>
    <mergeCell ref="B75:B76"/>
    <mergeCell ref="B93:B94"/>
    <mergeCell ref="AB21:AE21"/>
    <mergeCell ref="AF21:AI21"/>
    <mergeCell ref="B39:B40"/>
    <mergeCell ref="L39:O39"/>
    <mergeCell ref="P39:S39"/>
    <mergeCell ref="T39:W39"/>
    <mergeCell ref="X39:AA39"/>
    <mergeCell ref="AB39:AE39"/>
    <mergeCell ref="AF39:AI39"/>
    <mergeCell ref="X21:AA21"/>
    <mergeCell ref="B3:B4"/>
    <mergeCell ref="B21:B22"/>
    <mergeCell ref="L21:O21"/>
    <mergeCell ref="P21:S21"/>
    <mergeCell ref="T21:W21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54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5.26953125" style="5" customWidth="1"/>
    <col min="3" max="3" width="15.26953125" style="5" customWidth="1"/>
    <col min="4" max="4" width="11.81640625" style="5" customWidth="1"/>
    <col min="5" max="5" width="10.26953125" style="5" customWidth="1"/>
    <col min="6" max="6" width="19" style="5" customWidth="1"/>
    <col min="7" max="7" width="16.54296875" style="5" customWidth="1"/>
    <col min="8" max="8" width="10.81640625" style="5" customWidth="1"/>
    <col min="9" max="16384" width="9.1796875" style="5"/>
  </cols>
  <sheetData>
    <row r="2" spans="2:8" x14ac:dyDescent="0.35">
      <c r="B2" s="3" t="s">
        <v>407</v>
      </c>
    </row>
    <row r="3" spans="2:8" ht="30" x14ac:dyDescent="0.35">
      <c r="B3" s="150" t="s">
        <v>170</v>
      </c>
      <c r="C3" s="96" t="s">
        <v>408</v>
      </c>
      <c r="D3" s="96" t="s">
        <v>409</v>
      </c>
      <c r="E3" s="96" t="s">
        <v>410</v>
      </c>
      <c r="F3" s="96" t="s">
        <v>411</v>
      </c>
      <c r="G3" s="96" t="s">
        <v>412</v>
      </c>
      <c r="H3" s="96" t="s">
        <v>413</v>
      </c>
    </row>
    <row r="4" spans="2:8" x14ac:dyDescent="0.35">
      <c r="B4" s="151"/>
      <c r="C4" s="6" t="s">
        <v>378</v>
      </c>
      <c r="D4" s="6" t="s">
        <v>16</v>
      </c>
      <c r="E4" s="6" t="s">
        <v>16</v>
      </c>
      <c r="F4" s="6" t="s">
        <v>378</v>
      </c>
      <c r="G4" s="6" t="s">
        <v>382</v>
      </c>
      <c r="H4" s="6" t="s">
        <v>14</v>
      </c>
    </row>
    <row r="5" spans="2:8" x14ac:dyDescent="0.35">
      <c r="B5" s="7" t="s">
        <v>43</v>
      </c>
      <c r="C5" s="9">
        <f>EC!K5</f>
        <v>52.48</v>
      </c>
      <c r="D5" s="10">
        <f>EC!N5</f>
        <v>0.1096</v>
      </c>
      <c r="E5" s="10">
        <f>EC!M5</f>
        <v>0.43910312499999998</v>
      </c>
      <c r="F5" s="9">
        <f>C5*(E5-D5)</f>
        <v>17.292324000000001</v>
      </c>
      <c r="G5" s="9">
        <f>EC!AO5</f>
        <v>3.4955587262172387</v>
      </c>
      <c r="H5" s="9">
        <f>F5*G5/10</f>
        <v>6.0446334054775788</v>
      </c>
    </row>
    <row r="6" spans="2:8" x14ac:dyDescent="0.35">
      <c r="B6" s="7" t="s">
        <v>150</v>
      </c>
      <c r="C6" s="9">
        <f>EC!K6</f>
        <v>9319.84</v>
      </c>
      <c r="D6" s="10">
        <f>EC!N6</f>
        <v>8.6699999999999999E-2</v>
      </c>
      <c r="E6" s="10">
        <f>EC!M6</f>
        <v>9.2502897045442845E-2</v>
      </c>
      <c r="F6" s="9">
        <f t="shared" ref="F6:F17" si="0">C6*(E6-D6)</f>
        <v>54.082072000000046</v>
      </c>
      <c r="G6" s="9">
        <f>EC!AO6</f>
        <v>2.9075712466356594</v>
      </c>
      <c r="H6" s="9">
        <f t="shared" ref="H6:H17" si="1">F6*G6/10</f>
        <v>15.724747750567962</v>
      </c>
    </row>
    <row r="7" spans="2:8" x14ac:dyDescent="0.35">
      <c r="B7" s="7" t="s">
        <v>151</v>
      </c>
      <c r="C7" s="9">
        <f>EC!K7</f>
        <v>3956.9349999999999</v>
      </c>
      <c r="D7" s="10">
        <f>EC!N7</f>
        <v>9.7000000000000003E-2</v>
      </c>
      <c r="E7" s="10">
        <f>EC!M7</f>
        <v>0.10676040925615407</v>
      </c>
      <c r="F7" s="9">
        <f t="shared" si="0"/>
        <v>38.621304999999992</v>
      </c>
      <c r="G7" s="9">
        <f>EC!AO7</f>
        <v>3.0070659317410287</v>
      </c>
      <c r="H7" s="9">
        <f t="shared" si="1"/>
        <v>11.613681050487942</v>
      </c>
    </row>
    <row r="8" spans="2:8" x14ac:dyDescent="0.35">
      <c r="B8" s="7" t="s">
        <v>44</v>
      </c>
      <c r="C8" s="9">
        <f>EC!K8</f>
        <v>513.62900000000002</v>
      </c>
      <c r="D8" s="10">
        <f>EC!N8</f>
        <v>9.9049999999999985E-2</v>
      </c>
      <c r="E8" s="10">
        <f>EC!M8</f>
        <v>0.1565332175558623</v>
      </c>
      <c r="F8" s="9">
        <f t="shared" si="0"/>
        <v>29.525047550000007</v>
      </c>
      <c r="G8" s="9">
        <f>EC!AO8</f>
        <v>3.9167354319229646</v>
      </c>
      <c r="H8" s="9">
        <f t="shared" si="1"/>
        <v>11.564179986829535</v>
      </c>
    </row>
    <row r="9" spans="2:8" x14ac:dyDescent="0.35">
      <c r="B9" s="7" t="s">
        <v>152</v>
      </c>
      <c r="C9" s="9">
        <f>EC!K9</f>
        <v>2359.6979999999999</v>
      </c>
      <c r="D9" s="10">
        <f>EC!N9</f>
        <v>0.11</v>
      </c>
      <c r="E9" s="10">
        <f>EC!M9</f>
        <v>0.11611346028178184</v>
      </c>
      <c r="F9" s="9">
        <f t="shared" si="0"/>
        <v>14.425920000000032</v>
      </c>
      <c r="G9" s="9">
        <f>EC!AO9</f>
        <v>3.7267777865777112</v>
      </c>
      <c r="H9" s="9">
        <f t="shared" si="1"/>
        <v>5.3762198206947254</v>
      </c>
    </row>
    <row r="10" spans="2:8" x14ac:dyDescent="0.35">
      <c r="B10" s="7" t="s">
        <v>154</v>
      </c>
      <c r="C10" s="9">
        <f>EC!K10</f>
        <v>2598.328</v>
      </c>
      <c r="D10" s="10">
        <f>EC!N10</f>
        <v>0.03</v>
      </c>
      <c r="E10" s="10">
        <f>EC!M10</f>
        <v>2.8218146438786788E-2</v>
      </c>
      <c r="F10" s="9">
        <f t="shared" si="0"/>
        <v>-4.6298400000000006</v>
      </c>
      <c r="G10" s="9">
        <f>EC!AO10</f>
        <v>2.3697148575319713</v>
      </c>
      <c r="H10" s="9">
        <f t="shared" si="1"/>
        <v>-1.0971400635995825</v>
      </c>
    </row>
    <row r="11" spans="2:8" x14ac:dyDescent="0.35">
      <c r="B11" s="7" t="s">
        <v>155</v>
      </c>
      <c r="C11" s="9">
        <f>EC!K11</f>
        <v>2773.951</v>
      </c>
      <c r="D11" s="10">
        <f>EC!N11</f>
        <v>8.5000000000000006E-2</v>
      </c>
      <c r="E11" s="10">
        <f>EC!M11</f>
        <v>0.10495210621961239</v>
      </c>
      <c r="F11" s="9">
        <f t="shared" si="0"/>
        <v>55.346164999999985</v>
      </c>
      <c r="G11" s="9">
        <f>EC!AO11</f>
        <v>2.8652335527626938</v>
      </c>
      <c r="H11" s="9">
        <f t="shared" si="1"/>
        <v>15.85796889747402</v>
      </c>
    </row>
    <row r="12" spans="2:8" x14ac:dyDescent="0.35">
      <c r="B12" s="7" t="s">
        <v>156</v>
      </c>
      <c r="C12" s="9">
        <f>EC!K12</f>
        <v>1565.78</v>
      </c>
      <c r="D12" s="10">
        <f>EC!N12</f>
        <v>8.5000000000000006E-2</v>
      </c>
      <c r="E12" s="10">
        <f>EC!M12</f>
        <v>0.10981747116453142</v>
      </c>
      <c r="F12" s="9">
        <f t="shared" si="0"/>
        <v>38.858699999999992</v>
      </c>
      <c r="G12" s="9">
        <f>EC!AO12</f>
        <v>3.5733213701777258</v>
      </c>
      <c r="H12" s="9">
        <f t="shared" si="1"/>
        <v>13.885462312732518</v>
      </c>
    </row>
    <row r="13" spans="2:8" x14ac:dyDescent="0.35">
      <c r="B13" s="7" t="s">
        <v>8</v>
      </c>
      <c r="C13" s="9">
        <f>EC!K13</f>
        <v>3303.5909999999999</v>
      </c>
      <c r="D13" s="10">
        <f>EC!N13</f>
        <v>0.06</v>
      </c>
      <c r="E13" s="10">
        <f>EC!M13</f>
        <v>5.8566571951552113E-2</v>
      </c>
      <c r="F13" s="9">
        <f t="shared" si="0"/>
        <v>-4.7354599999999971</v>
      </c>
      <c r="G13" s="9">
        <f>EC!AO13</f>
        <v>2.5974273545556152</v>
      </c>
      <c r="H13" s="9">
        <f t="shared" si="1"/>
        <v>-1.2300013340403928</v>
      </c>
    </row>
    <row r="14" spans="2:8" x14ac:dyDescent="0.35">
      <c r="B14" s="7" t="s">
        <v>157</v>
      </c>
      <c r="C14" s="9">
        <f>EC!K14</f>
        <v>5264.7659999999996</v>
      </c>
      <c r="D14" s="10">
        <f>EC!N14</f>
        <v>0.06</v>
      </c>
      <c r="E14" s="10">
        <f>EC!M14</f>
        <v>6.2829599122354543E-2</v>
      </c>
      <c r="F14" s="9">
        <f t="shared" si="0"/>
        <v>14.897177253002049</v>
      </c>
      <c r="G14" s="9">
        <f>EC!AO14</f>
        <v>2.8607789970951067</v>
      </c>
      <c r="H14" s="9">
        <f t="shared" si="1"/>
        <v>4.2617531801391237</v>
      </c>
    </row>
    <row r="15" spans="2:8" x14ac:dyDescent="0.35">
      <c r="B15" s="7" t="s">
        <v>158</v>
      </c>
      <c r="C15" s="9">
        <f>EC!K15</f>
        <v>8952.6200000000008</v>
      </c>
      <c r="D15" s="10">
        <f>EC!N15</f>
        <v>0.06</v>
      </c>
      <c r="E15" s="10">
        <f>EC!M15</f>
        <v>8.1134907993414218E-2</v>
      </c>
      <c r="F15" s="9">
        <f t="shared" si="0"/>
        <v>189.21280000000004</v>
      </c>
      <c r="G15" s="9">
        <f>EC!AO15</f>
        <v>3.0406125500280767</v>
      </c>
      <c r="H15" s="9">
        <f t="shared" si="1"/>
        <v>57.532281430595262</v>
      </c>
    </row>
    <row r="16" spans="2:8" x14ac:dyDescent="0.35">
      <c r="B16" s="7" t="s">
        <v>159</v>
      </c>
      <c r="C16" s="9">
        <f>EC!K16</f>
        <v>6708.9750000000004</v>
      </c>
      <c r="D16" s="10">
        <f>EC!N16</f>
        <v>0.06</v>
      </c>
      <c r="E16" s="10">
        <f>EC!M16</f>
        <v>6.3407599521536448E-2</v>
      </c>
      <c r="F16" s="9">
        <f t="shared" si="0"/>
        <v>22.861500000000007</v>
      </c>
      <c r="G16" s="9">
        <f>EC!AO16</f>
        <v>3.1424062923992198</v>
      </c>
      <c r="H16" s="9">
        <f t="shared" si="1"/>
        <v>7.1840121453684791</v>
      </c>
    </row>
    <row r="17" spans="2:8" x14ac:dyDescent="0.35">
      <c r="B17" s="7" t="s">
        <v>160</v>
      </c>
      <c r="C17" s="9">
        <f>EC!K17</f>
        <v>867.82500000000005</v>
      </c>
      <c r="D17" s="10">
        <f>EC!N17</f>
        <v>8.5000000000000006E-2</v>
      </c>
      <c r="E17" s="10">
        <f>EC!M17</f>
        <v>0.10427908852591247</v>
      </c>
      <c r="F17" s="9">
        <f t="shared" si="0"/>
        <v>16.730874999999987</v>
      </c>
      <c r="G17" s="9">
        <f>EC!AO17</f>
        <v>3.410136524172064</v>
      </c>
      <c r="H17" s="9">
        <f t="shared" si="1"/>
        <v>5.705456791885724</v>
      </c>
    </row>
    <row r="18" spans="2:8" x14ac:dyDescent="0.35">
      <c r="B18" s="12" t="s">
        <v>27</v>
      </c>
      <c r="C18" s="13">
        <f>SUM(C5:C17)</f>
        <v>48238.417999999998</v>
      </c>
      <c r="D18" s="7"/>
      <c r="E18" s="7"/>
      <c r="F18" s="13">
        <f>SUM(F5:F17)</f>
        <v>482.48858580300214</v>
      </c>
      <c r="G18" s="13"/>
      <c r="H18" s="13">
        <f>SUM(H5:H17)</f>
        <v>152.42325537461289</v>
      </c>
    </row>
    <row r="20" spans="2:8" x14ac:dyDescent="0.35">
      <c r="B20" s="3" t="s">
        <v>414</v>
      </c>
    </row>
    <row r="21" spans="2:8" ht="30" x14ac:dyDescent="0.35">
      <c r="B21" s="150" t="s">
        <v>170</v>
      </c>
      <c r="C21" s="96" t="s">
        <v>408</v>
      </c>
      <c r="D21" s="96" t="s">
        <v>409</v>
      </c>
      <c r="E21" s="96" t="s">
        <v>410</v>
      </c>
      <c r="F21" s="96" t="s">
        <v>411</v>
      </c>
      <c r="G21" s="96" t="s">
        <v>412</v>
      </c>
      <c r="H21" s="96" t="s">
        <v>413</v>
      </c>
    </row>
    <row r="22" spans="2:8" x14ac:dyDescent="0.35">
      <c r="B22" s="151"/>
      <c r="C22" s="6" t="s">
        <v>378</v>
      </c>
      <c r="D22" s="6" t="s">
        <v>16</v>
      </c>
      <c r="E22" s="6" t="s">
        <v>16</v>
      </c>
      <c r="F22" s="6" t="s">
        <v>378</v>
      </c>
      <c r="G22" s="6" t="s">
        <v>382</v>
      </c>
      <c r="H22" s="6" t="s">
        <v>14</v>
      </c>
    </row>
    <row r="23" spans="2:8" x14ac:dyDescent="0.35">
      <c r="B23" s="7" t="s">
        <v>43</v>
      </c>
      <c r="C23" s="9">
        <f>EC!K23</f>
        <v>228.77699999999999</v>
      </c>
      <c r="D23" s="10">
        <f>EC!N23</f>
        <v>0.1096</v>
      </c>
      <c r="E23" s="10">
        <f>EC!M23</f>
        <v>0.17456361434934459</v>
      </c>
      <c r="F23" s="9">
        <f>C23*(E23-D23)</f>
        <v>14.862180800000004</v>
      </c>
      <c r="G23" s="9">
        <f>EC!AO23</f>
        <v>3.4475165862902881</v>
      </c>
      <c r="H23" s="9">
        <f>F23*G23/10</f>
        <v>5.1237614816445083</v>
      </c>
    </row>
    <row r="24" spans="2:8" x14ac:dyDescent="0.35">
      <c r="B24" s="7" t="s">
        <v>150</v>
      </c>
      <c r="C24" s="9">
        <f>EC!K24</f>
        <v>9071.5590000000011</v>
      </c>
      <c r="D24" s="10">
        <f>EC!N24</f>
        <v>7.8E-2</v>
      </c>
      <c r="E24" s="10">
        <f>EC!M24</f>
        <v>9.111592479308131E-2</v>
      </c>
      <c r="F24" s="9">
        <f t="shared" ref="F24:F35" si="2">C24*(E24-D24)</f>
        <v>118.98188559999991</v>
      </c>
      <c r="G24" s="9">
        <f>EC!AO24</f>
        <v>2.9713574902767732</v>
      </c>
      <c r="H24" s="9">
        <f t="shared" ref="H24:H35" si="3">F24*G24/10</f>
        <v>35.353771698481388</v>
      </c>
    </row>
    <row r="25" spans="2:8" x14ac:dyDescent="0.35">
      <c r="B25" s="7" t="s">
        <v>151</v>
      </c>
      <c r="C25" s="9">
        <f>EC!K25</f>
        <v>4908.9679999999998</v>
      </c>
      <c r="D25" s="10">
        <f>EC!N25</f>
        <v>9.7000000000000003E-2</v>
      </c>
      <c r="E25" s="10">
        <f>EC!M25</f>
        <v>9.9367932323046304E-2</v>
      </c>
      <c r="F25" s="9">
        <f t="shared" si="2"/>
        <v>11.624103999999955</v>
      </c>
      <c r="G25" s="9">
        <f>EC!AO25</f>
        <v>3.0019336562362722</v>
      </c>
      <c r="H25" s="9">
        <f t="shared" si="3"/>
        <v>3.4894789021190542</v>
      </c>
    </row>
    <row r="26" spans="2:8" x14ac:dyDescent="0.35">
      <c r="B26" s="7" t="s">
        <v>44</v>
      </c>
      <c r="C26" s="9">
        <f>EC!K26</f>
        <v>465.68799999999999</v>
      </c>
      <c r="D26" s="10">
        <f>EC!N26</f>
        <v>0.1081</v>
      </c>
      <c r="E26" s="10">
        <f>EC!M26</f>
        <v>0.14443761230695229</v>
      </c>
      <c r="F26" s="9">
        <f t="shared" si="2"/>
        <v>16.921989999999997</v>
      </c>
      <c r="G26" s="9">
        <f>EC!AO26</f>
        <v>3.0972331077062845</v>
      </c>
      <c r="H26" s="9">
        <f t="shared" si="3"/>
        <v>5.2411347676274662</v>
      </c>
    </row>
    <row r="27" spans="2:8" x14ac:dyDescent="0.35">
      <c r="B27" s="7" t="s">
        <v>152</v>
      </c>
      <c r="C27" s="9">
        <f>EC!K27</f>
        <v>737.10599999999999</v>
      </c>
      <c r="D27" s="10">
        <f>EC!N27</f>
        <v>0.1075</v>
      </c>
      <c r="E27" s="10">
        <f>EC!M27</f>
        <v>0.12904826239373979</v>
      </c>
      <c r="F27" s="9">
        <f t="shared" si="2"/>
        <v>15.883353499999961</v>
      </c>
      <c r="G27" s="9">
        <f>EC!AO27</f>
        <v>3.7176982930227376</v>
      </c>
      <c r="H27" s="9">
        <f t="shared" si="3"/>
        <v>5.9049516194426577</v>
      </c>
    </row>
    <row r="28" spans="2:8" x14ac:dyDescent="0.35">
      <c r="B28" s="7" t="s">
        <v>154</v>
      </c>
      <c r="C28" s="9">
        <f>EC!K28</f>
        <v>2007.9750000000004</v>
      </c>
      <c r="D28" s="10">
        <f>EC!N28</f>
        <v>3.1E-2</v>
      </c>
      <c r="E28" s="10">
        <f>EC!M28</f>
        <v>2.848989653755649E-2</v>
      </c>
      <c r="F28" s="9">
        <f t="shared" si="2"/>
        <v>-5.0402250000000084</v>
      </c>
      <c r="G28" s="9">
        <f>EC!AO28</f>
        <v>1.5163889729873701</v>
      </c>
      <c r="H28" s="9">
        <f t="shared" si="3"/>
        <v>-0.76429416113752802</v>
      </c>
    </row>
    <row r="29" spans="2:8" x14ac:dyDescent="0.35">
      <c r="B29" s="7" t="s">
        <v>155</v>
      </c>
      <c r="C29" s="9">
        <f>EC!K29</f>
        <v>3368.806</v>
      </c>
      <c r="D29" s="10">
        <f>EC!N29</f>
        <v>9.2999999999999999E-2</v>
      </c>
      <c r="E29" s="10">
        <f>EC!M29</f>
        <v>0.10528115450993616</v>
      </c>
      <c r="F29" s="9">
        <f t="shared" si="2"/>
        <v>41.372827000000015</v>
      </c>
      <c r="G29" s="9">
        <f>EC!AO29</f>
        <v>3.0274639143797355</v>
      </c>
      <c r="H29" s="9">
        <f t="shared" si="3"/>
        <v>12.525474077837565</v>
      </c>
    </row>
    <row r="30" spans="2:8" x14ac:dyDescent="0.35">
      <c r="B30" s="7" t="s">
        <v>156</v>
      </c>
      <c r="C30" s="9">
        <f>EC!K30</f>
        <v>1411.6479999999999</v>
      </c>
      <c r="D30" s="10">
        <f>EC!N30</f>
        <v>9.2999999999999999E-2</v>
      </c>
      <c r="E30" s="10">
        <f>EC!M30</f>
        <v>0.11670412543155519</v>
      </c>
      <c r="F30" s="9">
        <f t="shared" si="2"/>
        <v>33.461881257204013</v>
      </c>
      <c r="G30" s="9">
        <f>EC!AO30</f>
        <v>3.4851007075277276</v>
      </c>
      <c r="H30" s="9">
        <f t="shared" si="3"/>
        <v>11.661802604469051</v>
      </c>
    </row>
    <row r="31" spans="2:8" x14ac:dyDescent="0.35">
      <c r="B31" s="7" t="s">
        <v>8</v>
      </c>
      <c r="C31" s="9">
        <f>EC!K31</f>
        <v>3021.8770000000004</v>
      </c>
      <c r="D31" s="10">
        <f>EC!N31</f>
        <v>0.06</v>
      </c>
      <c r="E31" s="10">
        <f>EC!M31</f>
        <v>5.9890624135264275E-2</v>
      </c>
      <c r="F31" s="9">
        <f t="shared" si="2"/>
        <v>-0.33052040999999055</v>
      </c>
      <c r="G31" s="9">
        <f>EC!AO31</f>
        <v>2.5712638881816412</v>
      </c>
      <c r="H31" s="9">
        <f t="shared" si="3"/>
        <v>-8.49855194539966E-2</v>
      </c>
    </row>
    <row r="32" spans="2:8" x14ac:dyDescent="0.35">
      <c r="B32" s="7" t="s">
        <v>157</v>
      </c>
      <c r="C32" s="9">
        <f>EC!K32</f>
        <v>4677.3639999999996</v>
      </c>
      <c r="D32" s="10">
        <f>EC!N32</f>
        <v>0.06</v>
      </c>
      <c r="E32" s="10">
        <f>EC!M32</f>
        <v>5.9892958151215266E-2</v>
      </c>
      <c r="F32" s="9">
        <f t="shared" si="2"/>
        <v>-0.50067368999914996</v>
      </c>
      <c r="G32" s="9">
        <f>EC!AO32</f>
        <v>2.9478620122899564</v>
      </c>
      <c r="H32" s="9">
        <f t="shared" si="3"/>
        <v>-0.14759169513015319</v>
      </c>
    </row>
    <row r="33" spans="2:8" x14ac:dyDescent="0.35">
      <c r="B33" s="7" t="s">
        <v>158</v>
      </c>
      <c r="C33" s="9">
        <f>EC!K33</f>
        <v>7964.6689999999999</v>
      </c>
      <c r="D33" s="10">
        <f>EC!N33</f>
        <v>0.06</v>
      </c>
      <c r="E33" s="10">
        <f>EC!M33</f>
        <v>8.096833653727481E-2</v>
      </c>
      <c r="F33" s="9">
        <f t="shared" si="2"/>
        <v>167.00586000000004</v>
      </c>
      <c r="G33" s="9">
        <f>EC!AO33</f>
        <v>2.6212259866126248</v>
      </c>
      <c r="H33" s="9">
        <f t="shared" si="3"/>
        <v>43.776010014859004</v>
      </c>
    </row>
    <row r="34" spans="2:8" x14ac:dyDescent="0.35">
      <c r="B34" s="7" t="s">
        <v>159</v>
      </c>
      <c r="C34" s="9">
        <f>EC!K34</f>
        <v>7027.0960000000014</v>
      </c>
      <c r="D34" s="10">
        <f>EC!N34</f>
        <v>0.06</v>
      </c>
      <c r="E34" s="10">
        <f>EC!M34</f>
        <v>5.4882281386222684E-2</v>
      </c>
      <c r="F34" s="9">
        <f t="shared" si="2"/>
        <v>-35.962700000000112</v>
      </c>
      <c r="G34" s="9">
        <f>EC!AO34</f>
        <v>2.5408378178581588</v>
      </c>
      <c r="H34" s="9">
        <f t="shared" si="3"/>
        <v>-9.137538819228789</v>
      </c>
    </row>
    <row r="35" spans="2:8" x14ac:dyDescent="0.35">
      <c r="B35" s="7" t="s">
        <v>160</v>
      </c>
      <c r="C35" s="9">
        <f>EC!K35</f>
        <v>996.63900000000001</v>
      </c>
      <c r="D35" s="10">
        <f>EC!N35</f>
        <v>8.5000000000000006E-2</v>
      </c>
      <c r="E35" s="10">
        <f>EC!M35</f>
        <v>0.10261727566350504</v>
      </c>
      <c r="F35" s="9">
        <f t="shared" si="2"/>
        <v>17.558063999999991</v>
      </c>
      <c r="G35" s="9">
        <f>EC!AO35</f>
        <v>3.4583017432483958</v>
      </c>
      <c r="H35" s="9">
        <f t="shared" si="3"/>
        <v>6.0721083339266873</v>
      </c>
    </row>
    <row r="36" spans="2:8" x14ac:dyDescent="0.35">
      <c r="B36" s="12" t="s">
        <v>27</v>
      </c>
      <c r="C36" s="13">
        <f>SUM(C23:C35)</f>
        <v>45888.172000000013</v>
      </c>
      <c r="D36" s="7"/>
      <c r="E36" s="7"/>
      <c r="F36" s="13">
        <f>SUM(F23:F35)</f>
        <v>395.83802705720467</v>
      </c>
      <c r="G36" s="13"/>
      <c r="H36" s="13">
        <f>SUM(H23:H35)</f>
        <v>119.01408330545689</v>
      </c>
    </row>
    <row r="38" spans="2:8" x14ac:dyDescent="0.35">
      <c r="B38" s="3" t="s">
        <v>415</v>
      </c>
    </row>
    <row r="39" spans="2:8" ht="45" x14ac:dyDescent="0.35">
      <c r="B39" s="150" t="s">
        <v>170</v>
      </c>
      <c r="C39" s="96" t="s">
        <v>408</v>
      </c>
      <c r="D39" s="96" t="s">
        <v>409</v>
      </c>
      <c r="E39" s="96" t="s">
        <v>410</v>
      </c>
      <c r="F39" s="96" t="s">
        <v>416</v>
      </c>
      <c r="G39" s="96" t="s">
        <v>412</v>
      </c>
      <c r="H39" s="96" t="s">
        <v>413</v>
      </c>
    </row>
    <row r="40" spans="2:8" x14ac:dyDescent="0.35">
      <c r="B40" s="151"/>
      <c r="C40" s="6" t="s">
        <v>378</v>
      </c>
      <c r="D40" s="6" t="s">
        <v>16</v>
      </c>
      <c r="E40" s="6" t="s">
        <v>16</v>
      </c>
      <c r="F40" s="6" t="s">
        <v>378</v>
      </c>
      <c r="G40" s="6" t="s">
        <v>382</v>
      </c>
      <c r="H40" s="6" t="s">
        <v>14</v>
      </c>
    </row>
    <row r="41" spans="2:8" x14ac:dyDescent="0.35">
      <c r="B41" s="7" t="s">
        <v>43</v>
      </c>
      <c r="C41" s="9">
        <f>EC!K41</f>
        <v>535.99900000000002</v>
      </c>
      <c r="D41" s="10">
        <f>EC!N41</f>
        <v>0.1096</v>
      </c>
      <c r="E41" s="10">
        <f>EC!M41</f>
        <v>0.14474289308605856</v>
      </c>
      <c r="F41" s="9">
        <f>C41*(E41-D41)</f>
        <v>18.836555551234301</v>
      </c>
      <c r="G41" s="9">
        <f>EC!AO41</f>
        <v>3.7902268786053992</v>
      </c>
      <c r="H41" s="9">
        <f>F41*G41/10</f>
        <v>7.1394819150631985</v>
      </c>
    </row>
    <row r="42" spans="2:8" x14ac:dyDescent="0.35">
      <c r="B42" s="7" t="s">
        <v>150</v>
      </c>
      <c r="C42" s="9">
        <f>EC!K42</f>
        <v>8656.9569999999985</v>
      </c>
      <c r="D42" s="10">
        <f>EC!N42</f>
        <v>7.8E-2</v>
      </c>
      <c r="E42" s="10">
        <f>EC!M42</f>
        <v>0.10316019930559897</v>
      </c>
      <c r="F42" s="9">
        <f t="shared" ref="F42:F53" si="4">C42*(E42-D42)</f>
        <v>217.81076350000012</v>
      </c>
      <c r="G42" s="9">
        <f>EC!AO42</f>
        <v>3.0526528694938615</v>
      </c>
      <c r="H42" s="9">
        <f t="shared" ref="H42:H53" si="5">F42*G42/10</f>
        <v>66.490065220492426</v>
      </c>
    </row>
    <row r="43" spans="2:8" x14ac:dyDescent="0.35">
      <c r="B43" s="7" t="s">
        <v>151</v>
      </c>
      <c r="C43" s="9">
        <f>EC!K43</f>
        <v>3692.1129999999998</v>
      </c>
      <c r="D43" s="10">
        <f>EC!N43</f>
        <v>9.7000000000000003E-2</v>
      </c>
      <c r="E43" s="10">
        <f>EC!M43</f>
        <v>0.11307048294567366</v>
      </c>
      <c r="F43" s="9">
        <f t="shared" si="4"/>
        <v>59.334039000000018</v>
      </c>
      <c r="G43" s="9">
        <f>EC!AO43</f>
        <v>3.0357296000886085</v>
      </c>
      <c r="H43" s="9">
        <f t="shared" si="5"/>
        <v>18.012209848511198</v>
      </c>
    </row>
    <row r="44" spans="2:8" x14ac:dyDescent="0.35">
      <c r="B44" s="7" t="s">
        <v>44</v>
      </c>
      <c r="C44" s="9">
        <f>EC!K44</f>
        <v>899.20299999999997</v>
      </c>
      <c r="D44" s="10">
        <f>EC!N44</f>
        <v>0.1081</v>
      </c>
      <c r="E44" s="10">
        <f>EC!M44</f>
        <v>0.12795108557244583</v>
      </c>
      <c r="F44" s="9">
        <f t="shared" si="4"/>
        <v>17.850155700000009</v>
      </c>
      <c r="G44" s="9">
        <f>EC!AO44</f>
        <v>3.6228196495700455</v>
      </c>
      <c r="H44" s="9">
        <f t="shared" si="5"/>
        <v>6.4667894817844784</v>
      </c>
    </row>
    <row r="45" spans="2:8" x14ac:dyDescent="0.35">
      <c r="B45" s="7" t="s">
        <v>152</v>
      </c>
      <c r="C45" s="9">
        <f>EC!K45</f>
        <v>2013.9950000000001</v>
      </c>
      <c r="D45" s="10">
        <f>EC!N45</f>
        <v>0.1075</v>
      </c>
      <c r="E45" s="10">
        <f>EC!M45</f>
        <v>0.11349142760931476</v>
      </c>
      <c r="F45" s="9">
        <f t="shared" si="4"/>
        <v>12.066705248021879</v>
      </c>
      <c r="G45" s="9">
        <f>EC!AO45</f>
        <v>4.074172278472405</v>
      </c>
      <c r="H45" s="9">
        <f t="shared" si="5"/>
        <v>4.9161836013988225</v>
      </c>
    </row>
    <row r="46" spans="2:8" x14ac:dyDescent="0.35">
      <c r="B46" s="7" t="s">
        <v>154</v>
      </c>
      <c r="C46" s="9">
        <f>EC!K46</f>
        <v>2070.9210000000003</v>
      </c>
      <c r="D46" s="10">
        <f>EC!N46</f>
        <v>3.1E-2</v>
      </c>
      <c r="E46" s="10">
        <f>EC!M46</f>
        <v>2.7456168535641885E-2</v>
      </c>
      <c r="F46" s="9">
        <f t="shared" si="4"/>
        <v>-7.3389949999999731</v>
      </c>
      <c r="G46" s="9">
        <f>EC!AO46</f>
        <v>1.7065466203030275</v>
      </c>
      <c r="H46" s="9">
        <f t="shared" si="5"/>
        <v>-1.2524337113670772</v>
      </c>
    </row>
    <row r="47" spans="2:8" x14ac:dyDescent="0.35">
      <c r="B47" s="7" t="s">
        <v>155</v>
      </c>
      <c r="C47" s="9">
        <f>EC!K47</f>
        <v>2625.172</v>
      </c>
      <c r="D47" s="10">
        <f>EC!N47</f>
        <v>9.2999999999999999E-2</v>
      </c>
      <c r="E47" s="10">
        <f>EC!M47</f>
        <v>0.11349142760931476</v>
      </c>
      <c r="F47" s="9">
        <f t="shared" si="4"/>
        <v>53.793522000000046</v>
      </c>
      <c r="G47" s="9">
        <f>EC!AO47</f>
        <v>3.2328638502856148</v>
      </c>
      <c r="H47" s="9">
        <f t="shared" si="5"/>
        <v>17.390713265334405</v>
      </c>
    </row>
    <row r="48" spans="2:8" x14ac:dyDescent="0.35">
      <c r="B48" s="7" t="s">
        <v>156</v>
      </c>
      <c r="C48" s="9">
        <f>EC!K48</f>
        <v>1819.873</v>
      </c>
      <c r="D48" s="10">
        <f>EC!N48</f>
        <v>9.2999999999999999E-2</v>
      </c>
      <c r="E48" s="10">
        <f>EC!M48</f>
        <v>0.12258621570362462</v>
      </c>
      <c r="F48" s="9">
        <f t="shared" si="4"/>
        <v>53.843155131202444</v>
      </c>
      <c r="G48" s="9">
        <f>EC!AO48</f>
        <v>3.8692110161337614</v>
      </c>
      <c r="H48" s="9">
        <f t="shared" si="5"/>
        <v>20.833052897704754</v>
      </c>
    </row>
    <row r="49" spans="2:8" x14ac:dyDescent="0.35">
      <c r="B49" s="7" t="s">
        <v>8</v>
      </c>
      <c r="C49" s="9">
        <f>EC!K49</f>
        <v>3448.26</v>
      </c>
      <c r="D49" s="10">
        <f>EC!N49</f>
        <v>0.06</v>
      </c>
      <c r="E49" s="10">
        <f>EC!M49</f>
        <v>5.7533062516747571E-2</v>
      </c>
      <c r="F49" s="9">
        <f t="shared" si="4"/>
        <v>-8.5066418460000133</v>
      </c>
      <c r="G49" s="9">
        <f>EC!AO49</f>
        <v>2.5921246691120792</v>
      </c>
      <c r="H49" s="9">
        <f t="shared" si="5"/>
        <v>-2.2050276180317754</v>
      </c>
    </row>
    <row r="50" spans="2:8" x14ac:dyDescent="0.35">
      <c r="B50" s="7" t="s">
        <v>157</v>
      </c>
      <c r="C50" s="9">
        <f>EC!K50</f>
        <v>5622.0049999999992</v>
      </c>
      <c r="D50" s="10">
        <f>EC!N50</f>
        <v>0.06</v>
      </c>
      <c r="E50" s="10">
        <f>EC!M50</f>
        <v>6.4529575719852184E-2</v>
      </c>
      <c r="F50" s="9">
        <f t="shared" si="4"/>
        <v>25.465297344887585</v>
      </c>
      <c r="G50" s="9">
        <f>EC!AO50</f>
        <v>2.944026223271083</v>
      </c>
      <c r="H50" s="9">
        <f t="shared" si="5"/>
        <v>7.4970503166744535</v>
      </c>
    </row>
    <row r="51" spans="2:8" x14ac:dyDescent="0.35">
      <c r="B51" s="7" t="s">
        <v>158</v>
      </c>
      <c r="C51" s="9">
        <f>EC!K51</f>
        <v>10847.599999999999</v>
      </c>
      <c r="D51" s="10">
        <f>EC!N51</f>
        <v>0.06</v>
      </c>
      <c r="E51" s="10">
        <f>EC!M51</f>
        <v>7.5277388546775334E-2</v>
      </c>
      <c r="F51" s="9">
        <f t="shared" si="4"/>
        <v>165.72300000000013</v>
      </c>
      <c r="G51" s="9">
        <f>EC!AO51</f>
        <v>2.7049905185192999</v>
      </c>
      <c r="H51" s="9">
        <f t="shared" si="5"/>
        <v>44.827914370057428</v>
      </c>
    </row>
    <row r="52" spans="2:8" x14ac:dyDescent="0.35">
      <c r="B52" s="7" t="s">
        <v>159</v>
      </c>
      <c r="C52" s="9">
        <f>EC!K52</f>
        <v>6335.1530000000002</v>
      </c>
      <c r="D52" s="10">
        <f>EC!N52</f>
        <v>0.06</v>
      </c>
      <c r="E52" s="10">
        <f>EC!M52</f>
        <v>5.4973237426152136E-2</v>
      </c>
      <c r="F52" s="9">
        <f t="shared" si="4"/>
        <v>-31.845310000000008</v>
      </c>
      <c r="G52" s="9">
        <f>EC!AO52</f>
        <v>2.784413428532619</v>
      </c>
      <c r="H52" s="9">
        <f t="shared" si="5"/>
        <v>-8.8670508799784109</v>
      </c>
    </row>
    <row r="53" spans="2:8" x14ac:dyDescent="0.35">
      <c r="B53" s="7" t="s">
        <v>160</v>
      </c>
      <c r="C53" s="9">
        <f>EC!K53</f>
        <v>1130.048</v>
      </c>
      <c r="D53" s="10">
        <f>EC!N53</f>
        <v>8.5000000000000006E-2</v>
      </c>
      <c r="E53" s="10">
        <f>EC!M53</f>
        <v>0.1116</v>
      </c>
      <c r="F53" s="9">
        <f t="shared" si="4"/>
        <v>30.059276799999999</v>
      </c>
      <c r="G53" s="9">
        <f>EC!AO53</f>
        <v>3.8490793574468829</v>
      </c>
      <c r="H53" s="9">
        <f t="shared" si="5"/>
        <v>11.570054183066199</v>
      </c>
    </row>
    <row r="54" spans="2:8" x14ac:dyDescent="0.35">
      <c r="B54" s="12" t="s">
        <v>27</v>
      </c>
      <c r="C54" s="13">
        <f>SUM(C41:C53)</f>
        <v>49697.298999999992</v>
      </c>
      <c r="D54" s="7"/>
      <c r="E54" s="7"/>
      <c r="F54" s="13">
        <f>SUM(F41:F53)</f>
        <v>607.09152342934658</v>
      </c>
      <c r="G54" s="13"/>
      <c r="H54" s="13">
        <f>SUM(H41:H53)</f>
        <v>192.81900289071012</v>
      </c>
    </row>
  </sheetData>
  <mergeCells count="3">
    <mergeCell ref="B3:B4"/>
    <mergeCell ref="B21:B22"/>
    <mergeCell ref="B39:B40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25"/>
  <sheetViews>
    <sheetView showGridLines="0" workbookViewId="0"/>
  </sheetViews>
  <sheetFormatPr defaultColWidth="9.1796875" defaultRowHeight="15.5" x14ac:dyDescent="0.35"/>
  <cols>
    <col min="1" max="1" width="9.1796875" style="5"/>
    <col min="2" max="2" width="32.81640625" style="5" customWidth="1"/>
    <col min="3" max="4" width="12" style="5" customWidth="1"/>
    <col min="5" max="5" width="11" style="5" bestFit="1" customWidth="1"/>
    <col min="6" max="6" width="13" style="5" customWidth="1"/>
    <col min="7" max="7" width="20.81640625" style="5" customWidth="1"/>
    <col min="8" max="8" width="11.7265625" style="5" customWidth="1"/>
    <col min="9" max="9" width="9.1796875" style="5"/>
    <col min="10" max="10" width="32.81640625" style="5" customWidth="1"/>
    <col min="11" max="12" width="12" style="5" customWidth="1"/>
    <col min="13" max="13" width="11" style="5" bestFit="1" customWidth="1"/>
    <col min="14" max="14" width="13" style="5" customWidth="1"/>
    <col min="15" max="15" width="20.81640625" style="5" customWidth="1"/>
    <col min="16" max="16" width="11.7265625" style="5" customWidth="1"/>
    <col min="17" max="17" width="9.1796875" style="5"/>
    <col min="18" max="18" width="32.81640625" style="5" customWidth="1"/>
    <col min="19" max="20" width="12" style="5" customWidth="1"/>
    <col min="21" max="21" width="11" style="5" bestFit="1" customWidth="1"/>
    <col min="22" max="22" width="13" style="5" customWidth="1"/>
    <col min="23" max="23" width="20.81640625" style="5" customWidth="1"/>
    <col min="24" max="24" width="11.7265625" style="5" customWidth="1"/>
    <col min="25" max="25" width="9.1796875" style="5"/>
    <col min="26" max="26" width="38.81640625" style="5" customWidth="1"/>
    <col min="27" max="28" width="11.7265625" style="5" customWidth="1"/>
    <col min="29" max="16384" width="9.1796875" style="5"/>
  </cols>
  <sheetData>
    <row r="2" spans="2:28" x14ac:dyDescent="0.35">
      <c r="B2" s="3" t="s">
        <v>417</v>
      </c>
      <c r="H2" s="3" t="s">
        <v>164</v>
      </c>
      <c r="J2" s="3" t="s">
        <v>418</v>
      </c>
      <c r="P2" s="3" t="s">
        <v>164</v>
      </c>
      <c r="R2" s="3" t="s">
        <v>419</v>
      </c>
      <c r="X2" s="3" t="s">
        <v>164</v>
      </c>
      <c r="Z2" s="3"/>
    </row>
    <row r="3" spans="2:28" ht="30" x14ac:dyDescent="0.35">
      <c r="B3" s="187" t="s">
        <v>9</v>
      </c>
      <c r="C3" s="203" t="s">
        <v>171</v>
      </c>
      <c r="D3" s="6" t="s">
        <v>420</v>
      </c>
      <c r="E3" s="6" t="s">
        <v>237</v>
      </c>
      <c r="F3" s="96" t="s">
        <v>421</v>
      </c>
      <c r="G3" s="96" t="s">
        <v>422</v>
      </c>
      <c r="H3" s="96" t="s">
        <v>423</v>
      </c>
      <c r="J3" s="187" t="s">
        <v>9</v>
      </c>
      <c r="K3" s="203" t="s">
        <v>172</v>
      </c>
      <c r="L3" s="6" t="s">
        <v>420</v>
      </c>
      <c r="M3" s="6" t="s">
        <v>237</v>
      </c>
      <c r="N3" s="96" t="s">
        <v>421</v>
      </c>
      <c r="O3" s="96" t="s">
        <v>422</v>
      </c>
      <c r="P3" s="96" t="s">
        <v>423</v>
      </c>
      <c r="R3" s="187" t="s">
        <v>9</v>
      </c>
      <c r="S3" s="203" t="s">
        <v>172</v>
      </c>
      <c r="T3" s="6" t="s">
        <v>420</v>
      </c>
      <c r="U3" s="6" t="s">
        <v>237</v>
      </c>
      <c r="V3" s="96" t="s">
        <v>421</v>
      </c>
      <c r="W3" s="96" t="s">
        <v>422</v>
      </c>
      <c r="X3" s="96" t="s">
        <v>423</v>
      </c>
      <c r="Z3" s="3" t="s">
        <v>424</v>
      </c>
      <c r="AA3" s="3"/>
      <c r="AB3" s="3" t="s">
        <v>164</v>
      </c>
    </row>
    <row r="4" spans="2:28" ht="30" x14ac:dyDescent="0.35">
      <c r="B4" s="187"/>
      <c r="C4" s="204"/>
      <c r="D4" s="6" t="s">
        <v>351</v>
      </c>
      <c r="E4" s="6" t="s">
        <v>353</v>
      </c>
      <c r="F4" s="6" t="s">
        <v>425</v>
      </c>
      <c r="G4" s="96" t="s">
        <v>426</v>
      </c>
      <c r="H4" s="6" t="s">
        <v>427</v>
      </c>
      <c r="J4" s="187"/>
      <c r="K4" s="204"/>
      <c r="L4" s="6" t="s">
        <v>351</v>
      </c>
      <c r="M4" s="6" t="s">
        <v>353</v>
      </c>
      <c r="N4" s="6" t="s">
        <v>425</v>
      </c>
      <c r="O4" s="96" t="s">
        <v>426</v>
      </c>
      <c r="P4" s="6" t="s">
        <v>427</v>
      </c>
      <c r="R4" s="187"/>
      <c r="S4" s="204"/>
      <c r="T4" s="6" t="s">
        <v>351</v>
      </c>
      <c r="U4" s="6" t="s">
        <v>353</v>
      </c>
      <c r="V4" s="6" t="s">
        <v>425</v>
      </c>
      <c r="W4" s="96" t="s">
        <v>426</v>
      </c>
      <c r="X4" s="6" t="s">
        <v>427</v>
      </c>
      <c r="Z4" s="6" t="s">
        <v>9</v>
      </c>
      <c r="AA4" s="96" t="s">
        <v>172</v>
      </c>
      <c r="AB4" s="96" t="s">
        <v>428</v>
      </c>
    </row>
    <row r="5" spans="2:28" x14ac:dyDescent="0.35">
      <c r="B5" s="11" t="s">
        <v>429</v>
      </c>
      <c r="C5" s="9"/>
      <c r="D5" s="9"/>
      <c r="E5" s="9"/>
      <c r="F5" s="9"/>
      <c r="G5" s="9"/>
      <c r="H5" s="9"/>
      <c r="J5" s="11" t="s">
        <v>429</v>
      </c>
      <c r="K5" s="9"/>
      <c r="L5" s="9"/>
      <c r="M5" s="9"/>
      <c r="N5" s="9"/>
      <c r="O5" s="9"/>
      <c r="P5" s="9"/>
      <c r="R5" s="11" t="s">
        <v>429</v>
      </c>
      <c r="S5" s="9"/>
      <c r="T5" s="9"/>
      <c r="U5" s="9"/>
      <c r="V5" s="9"/>
      <c r="W5" s="9"/>
      <c r="X5" s="9"/>
      <c r="Z5" s="11" t="s">
        <v>429</v>
      </c>
      <c r="AA5" s="9"/>
      <c r="AB5" s="9"/>
    </row>
    <row r="6" spans="2:28" x14ac:dyDescent="0.35">
      <c r="B6" s="7" t="s">
        <v>196</v>
      </c>
      <c r="C6" s="9">
        <f>ARR!C19</f>
        <v>1650.6036212464592</v>
      </c>
      <c r="D6" s="9">
        <f>ARR!E19</f>
        <v>1680.0241972971326</v>
      </c>
      <c r="E6" s="9"/>
      <c r="F6" s="9"/>
      <c r="G6" s="9"/>
      <c r="H6" s="9">
        <f>D6+G6</f>
        <v>1680.0241972971326</v>
      </c>
      <c r="J6" s="7" t="s">
        <v>196</v>
      </c>
      <c r="K6" s="9">
        <f>ARR!C38</f>
        <v>1540.1546588560664</v>
      </c>
      <c r="L6" s="9">
        <f>ARR!E38</f>
        <v>1566.9719019007459</v>
      </c>
      <c r="M6" s="9"/>
      <c r="N6" s="9"/>
      <c r="O6" s="9"/>
      <c r="P6" s="9">
        <f>L6+O6</f>
        <v>1566.9719019007459</v>
      </c>
      <c r="R6" s="7" t="s">
        <v>196</v>
      </c>
      <c r="S6" s="9">
        <f>ARR!C57</f>
        <v>1586.4294147933099</v>
      </c>
      <c r="T6" s="9">
        <f>ARR!E57</f>
        <v>1583.5294695800374</v>
      </c>
      <c r="U6" s="9"/>
      <c r="V6" s="9"/>
      <c r="W6" s="9"/>
      <c r="X6" s="9">
        <f>T6+W6</f>
        <v>1583.5294695800374</v>
      </c>
      <c r="Z6" s="7" t="s">
        <v>196</v>
      </c>
      <c r="AA6" s="9">
        <f>ARR!C76</f>
        <v>1620.5367432464966</v>
      </c>
      <c r="AB6" s="9">
        <f>ARR!E76</f>
        <v>1618.7232229892434</v>
      </c>
    </row>
    <row r="7" spans="2:28" x14ac:dyDescent="0.35">
      <c r="B7" s="7" t="s">
        <v>430</v>
      </c>
      <c r="C7" s="9">
        <f>ARR!F19</f>
        <v>1829.3779261934903</v>
      </c>
      <c r="D7" s="9">
        <f>ARR!H19</f>
        <v>1876.756217533801</v>
      </c>
      <c r="E7" s="9"/>
      <c r="F7" s="9"/>
      <c r="G7" s="9"/>
      <c r="H7" s="9">
        <f>D7+G7</f>
        <v>1876.756217533801</v>
      </c>
      <c r="J7" s="7" t="s">
        <v>430</v>
      </c>
      <c r="K7" s="9">
        <f>ARR!F38</f>
        <v>1703.3561411313615</v>
      </c>
      <c r="L7" s="9">
        <f>ARR!H38</f>
        <v>1792.2875415013964</v>
      </c>
      <c r="M7" s="9"/>
      <c r="N7" s="9"/>
      <c r="O7" s="9"/>
      <c r="P7" s="9">
        <f>L7+O7</f>
        <v>1792.2875415013964</v>
      </c>
      <c r="R7" s="7" t="s">
        <v>430</v>
      </c>
      <c r="S7" s="9">
        <f>ARR!F57</f>
        <v>1569.9455432178888</v>
      </c>
      <c r="T7" s="9">
        <f>ARR!H57</f>
        <v>1568.4552931454441</v>
      </c>
      <c r="U7" s="9"/>
      <c r="V7" s="9"/>
      <c r="W7" s="9"/>
      <c r="X7" s="9">
        <f>T7+W7</f>
        <v>1568.4552931454441</v>
      </c>
      <c r="Z7" s="7" t="s">
        <v>430</v>
      </c>
      <c r="AA7" s="9">
        <f>ARR!F76</f>
        <v>1417.9634292694213</v>
      </c>
      <c r="AB7" s="9">
        <f>ARR!H76</f>
        <v>1453.1606934294709</v>
      </c>
    </row>
    <row r="8" spans="2:28" x14ac:dyDescent="0.35">
      <c r="B8" s="7" t="s">
        <v>24</v>
      </c>
      <c r="C8" s="9">
        <f>ARR!I19</f>
        <v>2000.3427741511398</v>
      </c>
      <c r="D8" s="9">
        <f>ARR!K19</f>
        <v>2083.7681944021028</v>
      </c>
      <c r="E8" s="9"/>
      <c r="F8" s="9"/>
      <c r="G8" s="9"/>
      <c r="H8" s="9">
        <f>D8+G8</f>
        <v>2083.7681944021028</v>
      </c>
      <c r="J8" s="7" t="s">
        <v>24</v>
      </c>
      <c r="K8" s="9">
        <f>ARR!I38</f>
        <v>2087.2422373665422</v>
      </c>
      <c r="L8" s="9">
        <f>ARR!K38</f>
        <v>2111.7081674804454</v>
      </c>
      <c r="M8" s="9"/>
      <c r="N8" s="9"/>
      <c r="O8" s="9"/>
      <c r="P8" s="9">
        <f>L8+O8</f>
        <v>2111.7081674804454</v>
      </c>
      <c r="R8" s="7" t="s">
        <v>24</v>
      </c>
      <c r="S8" s="9">
        <f>ARR!I57</f>
        <v>2153.4036842455112</v>
      </c>
      <c r="T8" s="9">
        <f>ARR!K57</f>
        <v>1982.7030685446696</v>
      </c>
      <c r="U8" s="9"/>
      <c r="V8" s="9"/>
      <c r="W8" s="9"/>
      <c r="X8" s="9">
        <f>T8+W8</f>
        <v>1982.7030685446696</v>
      </c>
      <c r="Z8" s="7" t="s">
        <v>24</v>
      </c>
      <c r="AA8" s="9">
        <f>ARR!I76</f>
        <v>2050.7545432048546</v>
      </c>
      <c r="AB8" s="9">
        <f>ARR!K76</f>
        <v>2034.4097065697365</v>
      </c>
    </row>
    <row r="9" spans="2:28" x14ac:dyDescent="0.35">
      <c r="B9" s="7" t="s">
        <v>243</v>
      </c>
      <c r="C9" s="9">
        <f>ARR!L19</f>
        <v>3394.2992476297645</v>
      </c>
      <c r="D9" s="9">
        <f>ARR!N19</f>
        <v>3216.2196888898175</v>
      </c>
      <c r="E9" s="9">
        <f>'O&amp;M (Summary)'!M19</f>
        <v>3785.2482049001992</v>
      </c>
      <c r="F9" s="9">
        <f>E9-D9</f>
        <v>569.02851601038174</v>
      </c>
      <c r="G9" s="9">
        <f>IF(F9&lt;0,2/3,1/3)*F9</f>
        <v>189.67617200346058</v>
      </c>
      <c r="H9" s="9">
        <f>D9+G9</f>
        <v>3405.895860893278</v>
      </c>
      <c r="J9" s="7" t="s">
        <v>243</v>
      </c>
      <c r="K9" s="9">
        <f>ARR!L38</f>
        <v>3738.6808979434322</v>
      </c>
      <c r="L9" s="9">
        <f>ARR!N38</f>
        <v>3477.3934167165226</v>
      </c>
      <c r="M9" s="9">
        <f>'O&amp;M (Summary)'!M38</f>
        <v>3374.0881635365304</v>
      </c>
      <c r="N9" s="9">
        <f>M9-L9</f>
        <v>-103.30525317999218</v>
      </c>
      <c r="O9" s="9">
        <f>IF(N9&lt;0,2/3,1/3)*N9</f>
        <v>-68.870168786661452</v>
      </c>
      <c r="P9" s="9">
        <f>L9+O9</f>
        <v>3408.5232479298611</v>
      </c>
      <c r="R9" s="7" t="s">
        <v>243</v>
      </c>
      <c r="S9" s="9">
        <f>ARR!L57</f>
        <v>3584.5837778326327</v>
      </c>
      <c r="T9" s="9">
        <f>ARR!N57</f>
        <v>3571.9465041635258</v>
      </c>
      <c r="U9" s="9">
        <f>'O&amp;M (Summary)'!M57</f>
        <v>3951.9026643653174</v>
      </c>
      <c r="V9" s="9">
        <f>U9-T9</f>
        <v>379.95616020179159</v>
      </c>
      <c r="W9" s="9">
        <f>IF(V9&lt;0,2/3,1/3)*V9</f>
        <v>126.6520534005972</v>
      </c>
      <c r="X9" s="9">
        <f>T9+W9</f>
        <v>3698.598557564123</v>
      </c>
      <c r="Z9" s="7" t="s">
        <v>243</v>
      </c>
      <c r="AA9" s="9">
        <f>ARR!L76</f>
        <v>3666.1861028826847</v>
      </c>
      <c r="AB9" s="9">
        <f>ARR!N76</f>
        <v>3686.3754116312816</v>
      </c>
    </row>
    <row r="10" spans="2:28" x14ac:dyDescent="0.35">
      <c r="B10" s="7" t="s">
        <v>341</v>
      </c>
      <c r="C10" s="9">
        <f>ARR!O19</f>
        <v>653.80527384517359</v>
      </c>
      <c r="D10" s="9">
        <f>ARR!Q19</f>
        <v>542.65756598431778</v>
      </c>
      <c r="E10" s="9">
        <f>IoWC!Z28</f>
        <v>0</v>
      </c>
      <c r="F10" s="9">
        <f>E10-D10</f>
        <v>-542.65756598431778</v>
      </c>
      <c r="G10" s="9">
        <f>IF(F10&lt;0,2/3,1/3)*F10</f>
        <v>-361.77171065621184</v>
      </c>
      <c r="H10" s="9">
        <f>D10+G10</f>
        <v>180.88585532810595</v>
      </c>
      <c r="J10" s="7" t="s">
        <v>341</v>
      </c>
      <c r="K10" s="9">
        <f>ARR!O38</f>
        <v>650.69906717670517</v>
      </c>
      <c r="L10" s="9">
        <f>ARR!Q38</f>
        <v>445.17211731163547</v>
      </c>
      <c r="M10" s="9">
        <f>IoWC!Z34</f>
        <v>0</v>
      </c>
      <c r="N10" s="9">
        <f>M10-L10</f>
        <v>-445.17211731163547</v>
      </c>
      <c r="O10" s="9">
        <f>IF(N10&lt;0,2/3,1/3)*N10</f>
        <v>-296.78141154109028</v>
      </c>
      <c r="P10" s="9">
        <f>L10+O10</f>
        <v>148.3907057705452</v>
      </c>
      <c r="R10" s="7" t="s">
        <v>341</v>
      </c>
      <c r="S10" s="9">
        <f>ARR!O57</f>
        <v>655.13036807973094</v>
      </c>
      <c r="T10" s="9">
        <f>ARR!Q57</f>
        <v>471.82234430072867</v>
      </c>
      <c r="U10" s="9">
        <f>IoWC!Z40</f>
        <v>76.699999999999591</v>
      </c>
      <c r="V10" s="9">
        <f>U10-T10</f>
        <v>-395.12234430072908</v>
      </c>
      <c r="W10" s="9">
        <f>IF(V10&lt;0,2/3,1/3)*V10</f>
        <v>-263.41489620048606</v>
      </c>
      <c r="X10" s="9">
        <f>T10+W10</f>
        <v>208.40744810024262</v>
      </c>
      <c r="Z10" s="7" t="s">
        <v>341</v>
      </c>
      <c r="AA10" s="9">
        <f>ARR!O76</f>
        <v>661.90091826210937</v>
      </c>
      <c r="AB10" s="9">
        <f ca="1">ARR!Q76</f>
        <v>789.87500089730736</v>
      </c>
    </row>
    <row r="11" spans="2:28" x14ac:dyDescent="0.35">
      <c r="B11" s="7" t="s">
        <v>431</v>
      </c>
      <c r="C11" s="9">
        <f>ARR!R19</f>
        <v>99.12</v>
      </c>
      <c r="D11" s="9"/>
      <c r="E11" s="9">
        <f>ARR!T19</f>
        <v>83.712480608999996</v>
      </c>
      <c r="F11" s="9"/>
      <c r="G11" s="9"/>
      <c r="H11" s="9">
        <f>E11</f>
        <v>83.712480608999996</v>
      </c>
      <c r="J11" s="7" t="s">
        <v>431</v>
      </c>
      <c r="K11" s="9">
        <f>ARR!R38</f>
        <v>99.12</v>
      </c>
      <c r="L11" s="9"/>
      <c r="M11" s="9">
        <f>ARR!T38</f>
        <v>52.149732766</v>
      </c>
      <c r="N11" s="9"/>
      <c r="O11" s="9"/>
      <c r="P11" s="9">
        <f>M11</f>
        <v>52.149732766</v>
      </c>
      <c r="R11" s="7" t="s">
        <v>431</v>
      </c>
      <c r="S11" s="9">
        <f>ARR!R57</f>
        <v>99.12</v>
      </c>
      <c r="T11" s="9"/>
      <c r="U11" s="9">
        <f>ARR!T57</f>
        <v>133.06627358900005</v>
      </c>
      <c r="V11" s="9"/>
      <c r="W11" s="9"/>
      <c r="X11" s="9">
        <f>U11</f>
        <v>133.06627358900005</v>
      </c>
      <c r="Z11" s="7" t="s">
        <v>431</v>
      </c>
      <c r="AA11" s="9">
        <f>ARR!R76</f>
        <v>99.12</v>
      </c>
      <c r="AB11" s="9">
        <f>ARR!T76</f>
        <v>260.26576436908323</v>
      </c>
    </row>
    <row r="12" spans="2:28" x14ac:dyDescent="0.35">
      <c r="B12" s="11" t="s">
        <v>432</v>
      </c>
      <c r="C12" s="13">
        <f>SUM(C6:C10)-C11</f>
        <v>9429.3088430660264</v>
      </c>
      <c r="D12" s="13"/>
      <c r="E12" s="9"/>
      <c r="F12" s="9"/>
      <c r="G12" s="9"/>
      <c r="H12" s="13">
        <f>SUM(H6:H10)-H11</f>
        <v>9143.6178448454193</v>
      </c>
      <c r="J12" s="11" t="s">
        <v>432</v>
      </c>
      <c r="K12" s="13">
        <f>SUM(K6:K10)-K11</f>
        <v>9621.0130024741065</v>
      </c>
      <c r="L12" s="13"/>
      <c r="M12" s="9"/>
      <c r="N12" s="9"/>
      <c r="O12" s="9"/>
      <c r="P12" s="13">
        <f>SUM(P6:P10)-P11</f>
        <v>8975.7318318169946</v>
      </c>
      <c r="R12" s="11" t="s">
        <v>432</v>
      </c>
      <c r="S12" s="13">
        <f>SUM(S6:S10)-S11</f>
        <v>9450.3727881690738</v>
      </c>
      <c r="T12" s="13"/>
      <c r="U12" s="9"/>
      <c r="V12" s="9"/>
      <c r="W12" s="9"/>
      <c r="X12" s="13">
        <f>SUM(X6:X10)-X11</f>
        <v>8908.627563345517</v>
      </c>
      <c r="Z12" s="11" t="s">
        <v>432</v>
      </c>
      <c r="AA12" s="13">
        <f>SUM(AA6:AA10)-AA11</f>
        <v>9318.2217368655674</v>
      </c>
      <c r="AB12" s="13">
        <f ca="1">SUM(AB6:AB10)-AB11</f>
        <v>9322.2782711479558</v>
      </c>
    </row>
    <row r="13" spans="2:28" x14ac:dyDescent="0.35">
      <c r="B13" s="7" t="s">
        <v>433</v>
      </c>
      <c r="C13" s="9">
        <v>0</v>
      </c>
      <c r="D13" s="9">
        <v>0</v>
      </c>
      <c r="E13" s="9"/>
      <c r="F13" s="9"/>
      <c r="G13" s="9"/>
      <c r="H13" s="9">
        <f t="shared" ref="H13:H16" si="0">D13+G13</f>
        <v>0</v>
      </c>
      <c r="J13" s="7" t="s">
        <v>434</v>
      </c>
      <c r="K13" s="9">
        <f>ARR!X38</f>
        <v>566.04999999999995</v>
      </c>
      <c r="L13" s="9"/>
      <c r="M13" s="9">
        <f>ARR!Z37</f>
        <v>566.04999999999995</v>
      </c>
      <c r="N13" s="9"/>
      <c r="O13" s="9"/>
      <c r="P13" s="9">
        <f>M13</f>
        <v>566.04999999999995</v>
      </c>
      <c r="R13" s="7" t="s">
        <v>434</v>
      </c>
      <c r="S13" s="9">
        <f>ARR!X57</f>
        <v>553.70000000000005</v>
      </c>
      <c r="T13" s="9"/>
      <c r="U13" s="9">
        <f>ARR!Z56</f>
        <v>553.70320002359983</v>
      </c>
      <c r="V13" s="9"/>
      <c r="W13" s="9"/>
      <c r="X13" s="9">
        <f>U13</f>
        <v>553.70320002359983</v>
      </c>
      <c r="Z13" s="7" t="s">
        <v>434</v>
      </c>
      <c r="AA13" s="9">
        <f>ARR!X76</f>
        <v>541.19000000000005</v>
      </c>
      <c r="AB13" s="9">
        <f>ARR!Z75</f>
        <v>541.19000000000005</v>
      </c>
    </row>
    <row r="14" spans="2:28" x14ac:dyDescent="0.35">
      <c r="B14" s="7" t="s">
        <v>435</v>
      </c>
      <c r="C14" s="99">
        <v>19.73</v>
      </c>
      <c r="D14" s="99">
        <v>36.26093632433637</v>
      </c>
      <c r="E14" s="9"/>
      <c r="F14" s="9"/>
      <c r="G14" s="9"/>
      <c r="H14" s="9">
        <f t="shared" si="0"/>
        <v>36.26093632433637</v>
      </c>
      <c r="J14" s="7" t="s">
        <v>436</v>
      </c>
      <c r="K14" s="9"/>
      <c r="L14" s="9">
        <f>EC!AR36</f>
        <v>11908.33737888918</v>
      </c>
      <c r="M14" s="9">
        <v>12398.462021103383</v>
      </c>
      <c r="N14" s="9">
        <f>M14-L14</f>
        <v>490.12464221420305</v>
      </c>
      <c r="O14" s="9">
        <f>IF(N14&lt;0,2/3,1/3)*N14</f>
        <v>163.37488073806767</v>
      </c>
      <c r="P14" s="9">
        <f t="shared" ref="P14" si="1">L14+O14</f>
        <v>12071.712259627247</v>
      </c>
      <c r="R14" s="7" t="s">
        <v>436</v>
      </c>
      <c r="S14" s="9"/>
      <c r="T14" s="9">
        <f>EC!AR54</f>
        <v>13169.398177289748</v>
      </c>
      <c r="U14" s="9">
        <v>14419.965522579963</v>
      </c>
      <c r="V14" s="9">
        <f>U14-T14</f>
        <v>1250.5673452902156</v>
      </c>
      <c r="W14" s="9">
        <f>IF(V14&lt;0,2/3,1/3)*V14</f>
        <v>416.85578176340516</v>
      </c>
      <c r="X14" s="9">
        <f t="shared" ref="X14" si="2">T14+W14</f>
        <v>13586.253959053152</v>
      </c>
      <c r="Z14" s="7" t="s">
        <v>436</v>
      </c>
      <c r="AA14" s="9"/>
      <c r="AB14" s="9">
        <f>EC!AR72</f>
        <v>22108.990204427999</v>
      </c>
    </row>
    <row r="15" spans="2:28" x14ac:dyDescent="0.35">
      <c r="B15" s="7" t="s">
        <v>434</v>
      </c>
      <c r="C15" s="9">
        <f>ARR!X19</f>
        <v>580.71</v>
      </c>
      <c r="D15" s="9"/>
      <c r="E15" s="9">
        <f>ARR!Z18</f>
        <v>580.71</v>
      </c>
      <c r="F15" s="9"/>
      <c r="G15" s="9"/>
      <c r="H15" s="9">
        <f>E15</f>
        <v>580.71</v>
      </c>
      <c r="J15" s="11" t="s">
        <v>437</v>
      </c>
      <c r="K15" s="13"/>
      <c r="L15" s="13"/>
      <c r="M15" s="9"/>
      <c r="N15" s="9"/>
      <c r="O15" s="9"/>
      <c r="P15" s="13">
        <f>SUM(P12:P14)</f>
        <v>21613.494091444241</v>
      </c>
      <c r="R15" s="11" t="s">
        <v>437</v>
      </c>
      <c r="S15" s="13"/>
      <c r="T15" s="13"/>
      <c r="U15" s="9"/>
      <c r="V15" s="9"/>
      <c r="W15" s="9"/>
      <c r="X15" s="13">
        <f>SUM(X12:X14)</f>
        <v>23048.584722422267</v>
      </c>
      <c r="Z15" s="11" t="s">
        <v>437</v>
      </c>
      <c r="AA15" s="13"/>
      <c r="AB15" s="13">
        <f ca="1">SUM(AB12:AB14)</f>
        <v>31972.458475575957</v>
      </c>
    </row>
    <row r="16" spans="2:28" x14ac:dyDescent="0.35">
      <c r="B16" s="7" t="s">
        <v>436</v>
      </c>
      <c r="C16" s="9">
        <f>ARR!AA19</f>
        <v>16782.245402943841</v>
      </c>
      <c r="D16" s="9">
        <f>EC!AR18</f>
        <v>13399.733690824338</v>
      </c>
      <c r="E16" s="9">
        <v>13819.055367208179</v>
      </c>
      <c r="F16" s="9">
        <f>E16-D16</f>
        <v>419.3216763838409</v>
      </c>
      <c r="G16" s="9">
        <f>IF(F16&lt;0,2/3,1/3)*F16</f>
        <v>139.77389212794697</v>
      </c>
      <c r="H16" s="9">
        <f t="shared" si="0"/>
        <v>13539.507582952285</v>
      </c>
      <c r="J16" s="7" t="s">
        <v>387</v>
      </c>
      <c r="K16" s="9"/>
      <c r="L16" s="9"/>
      <c r="M16" s="9"/>
      <c r="N16" s="9"/>
      <c r="O16" s="9"/>
      <c r="P16" s="9">
        <f>'AFC reduction'!H36</f>
        <v>825.86539836924658</v>
      </c>
      <c r="R16" s="7" t="s">
        <v>387</v>
      </c>
      <c r="S16" s="9"/>
      <c r="T16" s="9"/>
      <c r="U16" s="9"/>
      <c r="V16" s="9"/>
      <c r="W16" s="9"/>
      <c r="X16" s="9">
        <f>'AFC reduction'!H54</f>
        <v>1403.7470236378576</v>
      </c>
      <c r="Z16" s="7" t="s">
        <v>387</v>
      </c>
      <c r="AA16" s="9"/>
      <c r="AB16" s="9">
        <f ca="1">'AFC reduction'!H72</f>
        <v>993.23059303602327</v>
      </c>
    </row>
    <row r="17" spans="2:28" x14ac:dyDescent="0.35">
      <c r="B17" s="11" t="s">
        <v>437</v>
      </c>
      <c r="C17" s="13">
        <v>26812</v>
      </c>
      <c r="D17" s="13"/>
      <c r="E17" s="9"/>
      <c r="F17" s="9"/>
      <c r="G17" s="9"/>
      <c r="H17" s="13">
        <f>SUM(H12:H16)</f>
        <v>23300.096364122037</v>
      </c>
      <c r="J17" s="11" t="s">
        <v>438</v>
      </c>
      <c r="K17" s="13"/>
      <c r="L17" s="13"/>
      <c r="M17" s="9"/>
      <c r="N17" s="9"/>
      <c r="O17" s="9"/>
      <c r="P17" s="13">
        <f>P15-P16</f>
        <v>20787.628693074996</v>
      </c>
      <c r="R17" s="11" t="s">
        <v>438</v>
      </c>
      <c r="S17" s="13"/>
      <c r="T17" s="13"/>
      <c r="U17" s="9"/>
      <c r="V17" s="9"/>
      <c r="W17" s="9"/>
      <c r="X17" s="13">
        <f>X15-X16</f>
        <v>21644.837698784409</v>
      </c>
      <c r="Z17" s="11" t="s">
        <v>438</v>
      </c>
      <c r="AA17" s="13"/>
      <c r="AB17" s="13">
        <f ca="1">AB15-AB16</f>
        <v>30979.227882539933</v>
      </c>
    </row>
    <row r="18" spans="2:28" x14ac:dyDescent="0.35">
      <c r="B18" s="7" t="s">
        <v>387</v>
      </c>
      <c r="C18" s="9">
        <v>1085.5899999999999</v>
      </c>
      <c r="D18" s="9">
        <f>'AFC reduction'!H18</f>
        <v>1348.9811348709377</v>
      </c>
      <c r="E18" s="9"/>
      <c r="F18" s="9"/>
      <c r="G18" s="9"/>
      <c r="H18" s="9">
        <f>D18</f>
        <v>1348.9811348709377</v>
      </c>
      <c r="J18" s="7" t="s">
        <v>439</v>
      </c>
      <c r="K18" s="9"/>
      <c r="L18" s="9"/>
      <c r="M18" s="9"/>
      <c r="N18" s="9"/>
      <c r="O18" s="9"/>
      <c r="P18" s="9">
        <v>20093.398742000001</v>
      </c>
      <c r="R18" s="7" t="s">
        <v>439</v>
      </c>
      <c r="S18" s="9"/>
      <c r="T18" s="9"/>
      <c r="U18" s="9"/>
      <c r="V18" s="9"/>
      <c r="W18" s="9"/>
      <c r="X18" s="9">
        <v>21128.338000000007</v>
      </c>
      <c r="Z18" s="11" t="s">
        <v>439</v>
      </c>
      <c r="AA18" s="13"/>
      <c r="AB18" s="13">
        <v>32003.23</v>
      </c>
    </row>
    <row r="19" spans="2:28" ht="31" x14ac:dyDescent="0.35">
      <c r="B19" s="11" t="s">
        <v>438</v>
      </c>
      <c r="C19" s="13">
        <v>25726.11</v>
      </c>
      <c r="D19" s="13"/>
      <c r="E19" s="9"/>
      <c r="F19" s="9"/>
      <c r="G19" s="9"/>
      <c r="H19" s="13">
        <f>H17-H18</f>
        <v>21951.1152292511</v>
      </c>
      <c r="J19" s="84" t="s">
        <v>440</v>
      </c>
      <c r="K19" s="9"/>
      <c r="L19" s="9"/>
      <c r="M19" s="9"/>
      <c r="N19" s="9">
        <f>'Sharing of AUX'!H36</f>
        <v>119.01408330545689</v>
      </c>
      <c r="O19" s="9">
        <f>IF(N19&lt;0,2/3,1/3)*N19</f>
        <v>39.67136110181896</v>
      </c>
      <c r="P19" s="9">
        <f t="shared" ref="P19" si="3">L19+O19</f>
        <v>39.67136110181896</v>
      </c>
      <c r="R19" s="84" t="s">
        <v>440</v>
      </c>
      <c r="S19" s="9"/>
      <c r="T19" s="9"/>
      <c r="U19" s="9"/>
      <c r="V19" s="99">
        <f>'Sharing of AUX'!H54</f>
        <v>192.81900289071012</v>
      </c>
      <c r="W19" s="9">
        <f>IF(V19&lt;0,2/3,1/3)*V19</f>
        <v>64.273000963570041</v>
      </c>
      <c r="X19" s="9">
        <f t="shared" ref="X19" si="4">T19+W19</f>
        <v>64.273000963570041</v>
      </c>
      <c r="Z19" s="11" t="s">
        <v>441</v>
      </c>
      <c r="AA19" s="13"/>
      <c r="AB19" s="13">
        <f ca="1">AB17-AB18</f>
        <v>-1024.0021174600661</v>
      </c>
    </row>
    <row r="20" spans="2:28" x14ac:dyDescent="0.35">
      <c r="B20" s="7" t="s">
        <v>439</v>
      </c>
      <c r="C20" s="9">
        <v>25807.58</v>
      </c>
      <c r="D20" s="9"/>
      <c r="E20" s="9">
        <v>22016.5</v>
      </c>
      <c r="F20" s="9"/>
      <c r="G20" s="9"/>
      <c r="H20" s="9">
        <f>E20</f>
        <v>22016.5</v>
      </c>
      <c r="J20" s="11" t="s">
        <v>442</v>
      </c>
      <c r="K20" s="13"/>
      <c r="L20" s="13"/>
      <c r="M20" s="9"/>
      <c r="N20" s="9"/>
      <c r="O20" s="9"/>
      <c r="P20" s="13">
        <f>SUM(P18:P19)</f>
        <v>20133.070103101822</v>
      </c>
      <c r="R20" s="11" t="s">
        <v>442</v>
      </c>
      <c r="S20" s="13"/>
      <c r="T20" s="13"/>
      <c r="U20" s="9"/>
      <c r="V20" s="9"/>
      <c r="W20" s="9"/>
      <c r="X20" s="13">
        <f>SUM(X18:X19)</f>
        <v>21192.611000963578</v>
      </c>
    </row>
    <row r="21" spans="2:28" ht="31" x14ac:dyDescent="0.35">
      <c r="B21" s="84" t="s">
        <v>440</v>
      </c>
      <c r="C21" s="9"/>
      <c r="D21" s="9"/>
      <c r="E21" s="9"/>
      <c r="F21" s="9">
        <f>'Sharing of AUX'!H18</f>
        <v>152.42325537461289</v>
      </c>
      <c r="G21" s="9">
        <f>IF(F21&lt;0,2/3,1/3)*F21</f>
        <v>50.807751791537626</v>
      </c>
      <c r="H21" s="9">
        <f t="shared" ref="H21" si="5">D21+G21</f>
        <v>50.807751791537626</v>
      </c>
      <c r="J21" s="11" t="s">
        <v>441</v>
      </c>
      <c r="K21" s="13"/>
      <c r="L21" s="13"/>
      <c r="M21" s="9"/>
      <c r="N21" s="9"/>
      <c r="O21" s="9"/>
      <c r="P21" s="13">
        <f>P17-P20</f>
        <v>654.55858997317409</v>
      </c>
      <c r="R21" s="11" t="s">
        <v>441</v>
      </c>
      <c r="S21" s="13"/>
      <c r="T21" s="13"/>
      <c r="U21" s="9"/>
      <c r="V21" s="9"/>
      <c r="W21" s="9"/>
      <c r="X21" s="13">
        <f>X17-X20</f>
        <v>452.22669782083176</v>
      </c>
    </row>
    <row r="22" spans="2:28" x14ac:dyDescent="0.35">
      <c r="B22" s="11" t="s">
        <v>442</v>
      </c>
      <c r="C22" s="13">
        <f>SUM(C20:C21)</f>
        <v>25807.58</v>
      </c>
      <c r="D22" s="13"/>
      <c r="E22" s="9"/>
      <c r="F22" s="9"/>
      <c r="G22" s="9"/>
      <c r="H22" s="13">
        <f>SUM(H20:H21)</f>
        <v>22067.307751791537</v>
      </c>
    </row>
    <row r="23" spans="2:28" x14ac:dyDescent="0.35">
      <c r="B23" s="11" t="s">
        <v>441</v>
      </c>
      <c r="C23" s="13">
        <f>C19-C22</f>
        <v>-81.470000000001164</v>
      </c>
      <c r="D23" s="13"/>
      <c r="E23" s="9"/>
      <c r="F23" s="9"/>
      <c r="G23" s="9"/>
      <c r="H23" s="13">
        <f>H19-H22</f>
        <v>-116.19252254043749</v>
      </c>
    </row>
    <row r="24" spans="2:28" ht="30" x14ac:dyDescent="0.35">
      <c r="B24" s="15" t="s">
        <v>443</v>
      </c>
      <c r="C24" s="9"/>
      <c r="D24" s="9"/>
      <c r="E24" s="9"/>
      <c r="F24" s="9"/>
      <c r="G24" s="9"/>
      <c r="H24" s="13">
        <v>-81.47</v>
      </c>
    </row>
    <row r="25" spans="2:28" ht="30" x14ac:dyDescent="0.35">
      <c r="B25" s="15" t="s">
        <v>444</v>
      </c>
      <c r="C25" s="9"/>
      <c r="D25" s="9"/>
      <c r="E25" s="9"/>
      <c r="F25" s="9"/>
      <c r="G25" s="9"/>
      <c r="H25" s="13">
        <f>H23-H24</f>
        <v>-34.722522540437495</v>
      </c>
    </row>
  </sheetData>
  <mergeCells count="6">
    <mergeCell ref="S3:S4"/>
    <mergeCell ref="B3:B4"/>
    <mergeCell ref="C3:C4"/>
    <mergeCell ref="J3:J4"/>
    <mergeCell ref="K3:K4"/>
    <mergeCell ref="R3:R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3"/>
  <sheetViews>
    <sheetView showGridLines="0" workbookViewId="0"/>
  </sheetViews>
  <sheetFormatPr defaultColWidth="9.1796875" defaultRowHeight="15.5" x14ac:dyDescent="0.35"/>
  <cols>
    <col min="1" max="1" width="9.1796875" style="5"/>
    <col min="2" max="2" width="11.7265625" style="5" customWidth="1"/>
    <col min="3" max="3" width="35.453125" style="5" customWidth="1"/>
    <col min="4" max="4" width="12" style="5" customWidth="1"/>
    <col min="5" max="5" width="17.81640625" style="5" customWidth="1"/>
    <col min="6" max="6" width="13.1796875" style="5" customWidth="1"/>
    <col min="7" max="10" width="11.81640625" style="5" customWidth="1"/>
    <col min="11" max="11" width="15.26953125" style="5" customWidth="1"/>
    <col min="12" max="16384" width="9.1796875" style="5"/>
  </cols>
  <sheetData>
    <row r="2" spans="2:11" x14ac:dyDescent="0.35">
      <c r="B2" s="3" t="s">
        <v>445</v>
      </c>
      <c r="K2" s="120" t="s">
        <v>164</v>
      </c>
    </row>
    <row r="3" spans="2:11" x14ac:dyDescent="0.35">
      <c r="B3" s="192" t="s">
        <v>9</v>
      </c>
      <c r="C3" s="192"/>
      <c r="D3" s="192" t="s">
        <v>446</v>
      </c>
      <c r="E3" s="192" t="s">
        <v>447</v>
      </c>
      <c r="F3" s="192" t="s">
        <v>448</v>
      </c>
      <c r="G3" s="192"/>
      <c r="H3" s="192"/>
      <c r="I3" s="192"/>
      <c r="J3" s="192"/>
      <c r="K3" s="192" t="s">
        <v>449</v>
      </c>
    </row>
    <row r="4" spans="2:11" x14ac:dyDescent="0.35">
      <c r="B4" s="192"/>
      <c r="C4" s="192"/>
      <c r="D4" s="192"/>
      <c r="E4" s="192"/>
      <c r="F4" s="96" t="s">
        <v>31</v>
      </c>
      <c r="G4" s="96" t="s">
        <v>32</v>
      </c>
      <c r="H4" s="96" t="s">
        <v>33</v>
      </c>
      <c r="I4" s="96" t="s">
        <v>34</v>
      </c>
      <c r="J4" s="96" t="s">
        <v>35</v>
      </c>
      <c r="K4" s="192"/>
    </row>
    <row r="5" spans="2:11" x14ac:dyDescent="0.35">
      <c r="B5" s="192"/>
      <c r="C5" s="192"/>
      <c r="D5" s="96" t="s">
        <v>14</v>
      </c>
      <c r="E5" s="96" t="s">
        <v>14</v>
      </c>
      <c r="F5" s="140">
        <f>IoWC!J23</f>
        <v>9.6600000000000005E-2</v>
      </c>
      <c r="G5" s="140">
        <f>IoWC!J41</f>
        <v>8.5699999999999998E-2</v>
      </c>
      <c r="H5" s="140">
        <f>IoWC!J59</f>
        <v>8.5000000000000006E-2</v>
      </c>
      <c r="I5" s="140">
        <f>IoWC!J77</f>
        <v>9.4500000000000001E-2</v>
      </c>
      <c r="J5" s="140">
        <f>IoWC!J95</f>
        <v>9.4500000000000001E-2</v>
      </c>
      <c r="K5" s="192"/>
    </row>
    <row r="6" spans="2:11" x14ac:dyDescent="0.35">
      <c r="B6" s="192"/>
      <c r="C6" s="192"/>
      <c r="D6" s="96" t="s">
        <v>264</v>
      </c>
      <c r="E6" s="96" t="s">
        <v>265</v>
      </c>
      <c r="F6" s="140" t="s">
        <v>450</v>
      </c>
      <c r="G6" s="140" t="s">
        <v>267</v>
      </c>
      <c r="H6" s="140" t="s">
        <v>268</v>
      </c>
      <c r="I6" s="140" t="s">
        <v>269</v>
      </c>
      <c r="J6" s="140" t="s">
        <v>451</v>
      </c>
      <c r="K6" s="96" t="s">
        <v>452</v>
      </c>
    </row>
    <row r="7" spans="2:11" ht="31" x14ac:dyDescent="0.35">
      <c r="B7" s="203" t="s">
        <v>31</v>
      </c>
      <c r="C7" s="141" t="s">
        <v>453</v>
      </c>
      <c r="D7" s="97">
        <f>'Summary of true-up'!H23</f>
        <v>-116.19252254043749</v>
      </c>
      <c r="E7" s="97"/>
      <c r="F7" s="97"/>
      <c r="G7" s="97"/>
      <c r="H7" s="97"/>
      <c r="I7" s="97"/>
      <c r="J7" s="97"/>
      <c r="K7" s="97"/>
    </row>
    <row r="8" spans="2:11" ht="31" x14ac:dyDescent="0.35">
      <c r="B8" s="205"/>
      <c r="C8" s="141" t="s">
        <v>454</v>
      </c>
      <c r="D8" s="97">
        <f>'Summary of true-up'!H24</f>
        <v>-81.47</v>
      </c>
      <c r="E8" s="97"/>
      <c r="F8" s="97"/>
      <c r="G8" s="97"/>
      <c r="H8" s="97"/>
      <c r="I8" s="97"/>
      <c r="J8" s="97"/>
      <c r="K8" s="97"/>
    </row>
    <row r="9" spans="2:11" ht="31" x14ac:dyDescent="0.35">
      <c r="B9" s="204"/>
      <c r="C9" s="141" t="s">
        <v>455</v>
      </c>
      <c r="D9" s="97">
        <f>'Summary of true-up'!H25</f>
        <v>-34.722522540437495</v>
      </c>
      <c r="E9" s="97">
        <f>D9</f>
        <v>-34.722522540437495</v>
      </c>
      <c r="F9" s="97"/>
      <c r="G9" s="142">
        <f>$E9*G$5/2</f>
        <v>-1.4878600908577466</v>
      </c>
      <c r="H9" s="142">
        <f t="shared" ref="H9:I11" si="0">$E9*H$5</f>
        <v>-2.9514144159371871</v>
      </c>
      <c r="I9" s="142">
        <f t="shared" si="0"/>
        <v>-3.2812783800713432</v>
      </c>
      <c r="J9" s="142">
        <f>$E9*J$5/2</f>
        <v>-1.6406391900356716</v>
      </c>
      <c r="K9" s="97">
        <f>SUM(E9:J9)</f>
        <v>-44.083714617339439</v>
      </c>
    </row>
    <row r="10" spans="2:11" ht="31" x14ac:dyDescent="0.35">
      <c r="B10" s="143" t="s">
        <v>32</v>
      </c>
      <c r="C10" s="141" t="s">
        <v>456</v>
      </c>
      <c r="D10" s="97">
        <f>'Summary of true-up'!P21</f>
        <v>654.55858997317409</v>
      </c>
      <c r="E10" s="97">
        <f>D10</f>
        <v>654.55858997317409</v>
      </c>
      <c r="F10" s="97"/>
      <c r="G10" s="142">
        <f>$E10*G$5/2</f>
        <v>28.047835580350508</v>
      </c>
      <c r="H10" s="142">
        <f t="shared" si="0"/>
        <v>55.637480147719799</v>
      </c>
      <c r="I10" s="142">
        <f t="shared" si="0"/>
        <v>61.855786752464951</v>
      </c>
      <c r="J10" s="142">
        <f>$E10*J$5/2</f>
        <v>30.927893376232475</v>
      </c>
      <c r="K10" s="97">
        <f>SUM(E10:J10)</f>
        <v>831.0275858299417</v>
      </c>
    </row>
    <row r="11" spans="2:11" ht="31" x14ac:dyDescent="0.35">
      <c r="B11" s="143" t="s">
        <v>33</v>
      </c>
      <c r="C11" s="141" t="s">
        <v>456</v>
      </c>
      <c r="D11" s="97">
        <f>'Summary of true-up'!X21</f>
        <v>452.22669782083176</v>
      </c>
      <c r="E11" s="97">
        <f>D11</f>
        <v>452.22669782083176</v>
      </c>
      <c r="F11" s="97"/>
      <c r="G11" s="142"/>
      <c r="H11" s="142">
        <f>$E11*H$5/2</f>
        <v>19.219634657385352</v>
      </c>
      <c r="I11" s="142">
        <f t="shared" si="0"/>
        <v>42.735422944068603</v>
      </c>
      <c r="J11" s="142">
        <f>$E11*J$5/2</f>
        <v>21.367711472034301</v>
      </c>
      <c r="K11" s="97">
        <f>SUM(E11:J11)</f>
        <v>535.54946689432006</v>
      </c>
    </row>
    <row r="12" spans="2:11" ht="31" x14ac:dyDescent="0.35">
      <c r="B12" s="143" t="s">
        <v>34</v>
      </c>
      <c r="C12" s="141" t="s">
        <v>457</v>
      </c>
      <c r="D12" s="97">
        <f ca="1">'Summary of true-up'!AB19</f>
        <v>-1024.0021174600661</v>
      </c>
      <c r="E12" s="97">
        <f ca="1">D12</f>
        <v>-1024.0021174600661</v>
      </c>
      <c r="F12" s="97"/>
      <c r="G12" s="97"/>
      <c r="H12" s="97"/>
      <c r="I12" s="97"/>
      <c r="J12" s="97"/>
      <c r="K12" s="97">
        <f ca="1">SUM(E12:J12)</f>
        <v>-1024.0021174600661</v>
      </c>
    </row>
    <row r="13" spans="2:11" x14ac:dyDescent="0.35">
      <c r="B13" s="197" t="s">
        <v>27</v>
      </c>
      <c r="C13" s="197"/>
      <c r="D13" s="97"/>
      <c r="E13" s="98">
        <f ca="1">SUM(E9:E12)</f>
        <v>48.060647793502312</v>
      </c>
      <c r="F13" s="98">
        <f t="shared" ref="F13:K13" si="1">SUM(F9:F12)</f>
        <v>0</v>
      </c>
      <c r="G13" s="98">
        <f t="shared" si="1"/>
        <v>26.559975489492761</v>
      </c>
      <c r="H13" s="98">
        <f t="shared" si="1"/>
        <v>71.905700389167961</v>
      </c>
      <c r="I13" s="98">
        <f t="shared" si="1"/>
        <v>101.30993131646221</v>
      </c>
      <c r="J13" s="98">
        <f t="shared" si="1"/>
        <v>50.654965658231106</v>
      </c>
      <c r="K13" s="98">
        <f t="shared" ca="1" si="1"/>
        <v>298.49122064685616</v>
      </c>
    </row>
    <row r="16" spans="2:11" x14ac:dyDescent="0.35">
      <c r="C16" s="3" t="s">
        <v>458</v>
      </c>
      <c r="I16" s="120" t="s">
        <v>164</v>
      </c>
    </row>
    <row r="17" spans="3:9" x14ac:dyDescent="0.35">
      <c r="C17" s="187" t="s">
        <v>9</v>
      </c>
      <c r="D17" s="187" t="s">
        <v>131</v>
      </c>
      <c r="E17" s="187"/>
      <c r="F17" s="187"/>
      <c r="G17" s="187" t="s">
        <v>132</v>
      </c>
      <c r="H17" s="187"/>
      <c r="I17" s="187"/>
    </row>
    <row r="18" spans="3:9" ht="30" x14ac:dyDescent="0.35">
      <c r="C18" s="187"/>
      <c r="D18" s="96" t="s">
        <v>446</v>
      </c>
      <c r="E18" s="96" t="s">
        <v>36</v>
      </c>
      <c r="F18" s="96" t="s">
        <v>27</v>
      </c>
      <c r="G18" s="96" t="s">
        <v>446</v>
      </c>
      <c r="H18" s="96" t="s">
        <v>36</v>
      </c>
      <c r="I18" s="96" t="s">
        <v>27</v>
      </c>
    </row>
    <row r="19" spans="3:9" ht="31" x14ac:dyDescent="0.35">
      <c r="C19" s="84" t="s">
        <v>459</v>
      </c>
      <c r="D19" s="9">
        <v>51.052326926921808</v>
      </c>
      <c r="E19" s="9">
        <v>30.319267380607151</v>
      </c>
      <c r="F19" s="13">
        <f>SUM(D19:E19)</f>
        <v>81.371594307528966</v>
      </c>
      <c r="G19" s="9">
        <v>34.811960592215954</v>
      </c>
      <c r="H19" s="9">
        <v>26.438303563693609</v>
      </c>
      <c r="I19" s="13">
        <f>SUM(G19:H19)</f>
        <v>61.250264155909562</v>
      </c>
    </row>
    <row r="20" spans="3:9" ht="31" x14ac:dyDescent="0.35">
      <c r="C20" s="84" t="s">
        <v>460</v>
      </c>
      <c r="D20" s="9">
        <v>112.671595250499</v>
      </c>
      <c r="E20" s="9">
        <v>46.653310404554674</v>
      </c>
      <c r="F20" s="13">
        <f t="shared" ref="F20:F32" si="2">SUM(D20:E20)</f>
        <v>159.32490565505367</v>
      </c>
      <c r="G20" s="9">
        <v>83.760207420474472</v>
      </c>
      <c r="H20" s="9">
        <v>46.940613269855078</v>
      </c>
      <c r="I20" s="13">
        <f t="shared" ref="I20:I32" si="3">SUM(G20:H20)</f>
        <v>130.70082069032955</v>
      </c>
    </row>
    <row r="21" spans="3:9" ht="31" x14ac:dyDescent="0.35">
      <c r="C21" s="84" t="s">
        <v>461</v>
      </c>
      <c r="D21" s="9">
        <v>55.581704239274401</v>
      </c>
      <c r="E21" s="9">
        <v>22.596030040929282</v>
      </c>
      <c r="F21" s="13">
        <f t="shared" si="2"/>
        <v>78.17773428020368</v>
      </c>
      <c r="G21" s="9">
        <v>53.409803723444625</v>
      </c>
      <c r="H21" s="9">
        <v>30.822527315954517</v>
      </c>
      <c r="I21" s="13">
        <f t="shared" si="3"/>
        <v>84.232331039399142</v>
      </c>
    </row>
    <row r="22" spans="3:9" x14ac:dyDescent="0.35">
      <c r="C22" s="84" t="s">
        <v>462</v>
      </c>
      <c r="D22" s="9">
        <v>5.3430751425725989</v>
      </c>
      <c r="E22" s="9">
        <v>1.9492280314050132</v>
      </c>
      <c r="F22" s="13">
        <f t="shared" si="2"/>
        <v>7.2923031739776123</v>
      </c>
      <c r="G22" s="9">
        <v>5.3430751425725989</v>
      </c>
      <c r="H22" s="9">
        <v>2.7427369839829354</v>
      </c>
      <c r="I22" s="13">
        <f t="shared" si="3"/>
        <v>8.0858121265555347</v>
      </c>
    </row>
    <row r="23" spans="3:9" x14ac:dyDescent="0.35">
      <c r="C23" s="7" t="s">
        <v>463</v>
      </c>
      <c r="D23" s="9">
        <v>348.11309285443349</v>
      </c>
      <c r="E23" s="9">
        <v>92.801361227218834</v>
      </c>
      <c r="F23" s="13">
        <f t="shared" si="2"/>
        <v>440.91445408165231</v>
      </c>
      <c r="G23" s="9">
        <f>E9</f>
        <v>-34.722522540437495</v>
      </c>
      <c r="H23" s="9">
        <f>SUM(F9:J9)</f>
        <v>-9.3611920769019488</v>
      </c>
      <c r="I23" s="13">
        <f t="shared" si="3"/>
        <v>-44.083714617339446</v>
      </c>
    </row>
    <row r="24" spans="3:9" x14ac:dyDescent="0.35">
      <c r="C24" s="7" t="s">
        <v>464</v>
      </c>
      <c r="D24" s="9">
        <v>1073.3847647277034</v>
      </c>
      <c r="E24" s="9">
        <v>192.11091044986989</v>
      </c>
      <c r="F24" s="13">
        <f t="shared" si="2"/>
        <v>1265.4956751775733</v>
      </c>
      <c r="G24" s="9">
        <f t="shared" ref="G24:G26" si="4">E10</f>
        <v>654.55858997317409</v>
      </c>
      <c r="H24" s="9">
        <f t="shared" ref="H24:H26" si="5">SUM(F10:J10)</f>
        <v>176.46899585676772</v>
      </c>
      <c r="I24" s="13">
        <f t="shared" si="3"/>
        <v>831.02758582994181</v>
      </c>
    </row>
    <row r="25" spans="3:9" x14ac:dyDescent="0.35">
      <c r="C25" s="7" t="s">
        <v>465</v>
      </c>
      <c r="D25" s="9">
        <v>683.62445033996846</v>
      </c>
      <c r="E25" s="9">
        <v>61.176439183911597</v>
      </c>
      <c r="F25" s="13">
        <f t="shared" si="2"/>
        <v>744.80088952388007</v>
      </c>
      <c r="G25" s="9">
        <f t="shared" si="4"/>
        <v>452.22669782083176</v>
      </c>
      <c r="H25" s="9">
        <f t="shared" si="5"/>
        <v>83.32276907348826</v>
      </c>
      <c r="I25" s="13">
        <f t="shared" si="3"/>
        <v>535.54946689432006</v>
      </c>
    </row>
    <row r="26" spans="3:9" x14ac:dyDescent="0.35">
      <c r="C26" s="7" t="s">
        <v>466</v>
      </c>
      <c r="D26" s="9">
        <v>-1125.0832724670145</v>
      </c>
      <c r="E26" s="9"/>
      <c r="F26" s="13">
        <f t="shared" si="2"/>
        <v>-1125.0832724670145</v>
      </c>
      <c r="G26" s="9">
        <f t="shared" ca="1" si="4"/>
        <v>-1024.0021174600661</v>
      </c>
      <c r="H26" s="9">
        <f t="shared" si="5"/>
        <v>0</v>
      </c>
      <c r="I26" s="13">
        <f t="shared" ca="1" si="3"/>
        <v>-1024.0021174600661</v>
      </c>
    </row>
    <row r="27" spans="3:9" ht="31" x14ac:dyDescent="0.35">
      <c r="C27" s="84" t="s">
        <v>470</v>
      </c>
      <c r="D27" s="9">
        <v>13.736758595</v>
      </c>
      <c r="E27" s="9">
        <v>3.4195301339274713</v>
      </c>
      <c r="F27" s="13">
        <f t="shared" si="2"/>
        <v>17.156288728927471</v>
      </c>
      <c r="G27" s="9">
        <f t="shared" ref="G27:H30" si="6">D27</f>
        <v>13.736758595</v>
      </c>
      <c r="H27" s="9">
        <f t="shared" si="6"/>
        <v>3.4195301339274713</v>
      </c>
      <c r="I27" s="13">
        <f t="shared" si="3"/>
        <v>17.156288728927471</v>
      </c>
    </row>
    <row r="28" spans="3:9" ht="46.5" x14ac:dyDescent="0.35">
      <c r="C28" s="84" t="s">
        <v>471</v>
      </c>
      <c r="D28" s="9">
        <v>65.454797039843811</v>
      </c>
      <c r="E28" s="9">
        <v>26.732144703074365</v>
      </c>
      <c r="F28" s="13">
        <f t="shared" si="2"/>
        <v>92.186941742918179</v>
      </c>
      <c r="G28" s="9">
        <f t="shared" si="6"/>
        <v>65.454797039843811</v>
      </c>
      <c r="H28" s="9">
        <f t="shared" si="6"/>
        <v>26.732144703074365</v>
      </c>
      <c r="I28" s="13">
        <f t="shared" si="3"/>
        <v>92.186941742918179</v>
      </c>
    </row>
    <row r="29" spans="3:9" ht="46.5" x14ac:dyDescent="0.35">
      <c r="C29" s="84" t="s">
        <v>472</v>
      </c>
      <c r="D29" s="9">
        <v>130.46</v>
      </c>
      <c r="E29" s="9">
        <v>23.349306046511629</v>
      </c>
      <c r="F29" s="13">
        <f t="shared" si="2"/>
        <v>153.80930604651164</v>
      </c>
      <c r="G29" s="9">
        <f t="shared" si="6"/>
        <v>130.46</v>
      </c>
      <c r="H29" s="9">
        <f t="shared" si="6"/>
        <v>23.349306046511629</v>
      </c>
      <c r="I29" s="13">
        <f t="shared" si="3"/>
        <v>153.80930604651164</v>
      </c>
    </row>
    <row r="30" spans="3:9" ht="31" x14ac:dyDescent="0.35">
      <c r="C30" s="84" t="s">
        <v>473</v>
      </c>
      <c r="D30" s="9">
        <v>199.32</v>
      </c>
      <c r="E30" s="9">
        <v>17.836822325581394</v>
      </c>
      <c r="F30" s="13">
        <f t="shared" si="2"/>
        <v>217.1568223255814</v>
      </c>
      <c r="G30" s="9">
        <f t="shared" si="6"/>
        <v>199.32</v>
      </c>
      <c r="H30" s="9">
        <f t="shared" si="6"/>
        <v>17.836822325581394</v>
      </c>
      <c r="I30" s="13">
        <f t="shared" si="3"/>
        <v>217.1568223255814</v>
      </c>
    </row>
    <row r="31" spans="3:9" ht="31" x14ac:dyDescent="0.35">
      <c r="C31" s="84" t="s">
        <v>474</v>
      </c>
      <c r="D31" s="9">
        <v>7.82</v>
      </c>
      <c r="E31" s="9">
        <v>0</v>
      </c>
      <c r="F31" s="13">
        <f t="shared" si="2"/>
        <v>7.82</v>
      </c>
      <c r="G31" s="9">
        <f>D31</f>
        <v>7.82</v>
      </c>
      <c r="H31" s="9">
        <v>0</v>
      </c>
      <c r="I31" s="13">
        <f t="shared" si="3"/>
        <v>7.82</v>
      </c>
    </row>
    <row r="32" spans="3:9" ht="31" x14ac:dyDescent="0.35">
      <c r="C32" s="84" t="s">
        <v>474</v>
      </c>
      <c r="D32" s="9">
        <v>69.739999999999995</v>
      </c>
      <c r="E32" s="9">
        <v>7.83</v>
      </c>
      <c r="F32" s="13">
        <f t="shared" si="2"/>
        <v>77.569999999999993</v>
      </c>
      <c r="G32" s="9">
        <f>D32</f>
        <v>69.739999999999995</v>
      </c>
      <c r="H32" s="9">
        <f>E32</f>
        <v>7.83</v>
      </c>
      <c r="I32" s="13">
        <f t="shared" si="3"/>
        <v>77.569999999999993</v>
      </c>
    </row>
    <row r="33" spans="3:9" x14ac:dyDescent="0.35">
      <c r="C33" s="133" t="s">
        <v>27</v>
      </c>
      <c r="D33" s="13">
        <f t="shared" ref="D33:I33" si="7">SUM(D19:D32)</f>
        <v>1691.2192926492028</v>
      </c>
      <c r="E33" s="13">
        <f t="shared" si="7"/>
        <v>526.7743499275914</v>
      </c>
      <c r="F33" s="13">
        <f t="shared" si="7"/>
        <v>2217.9936425767942</v>
      </c>
      <c r="G33" s="13">
        <f t="shared" ca="1" si="7"/>
        <v>711.91725030705368</v>
      </c>
      <c r="H33" s="13">
        <f t="shared" si="7"/>
        <v>436.54255719593505</v>
      </c>
      <c r="I33" s="13">
        <f t="shared" ca="1" si="7"/>
        <v>1148.459807502989</v>
      </c>
    </row>
  </sheetData>
  <mergeCells count="10">
    <mergeCell ref="K3:K5"/>
    <mergeCell ref="B7:B9"/>
    <mergeCell ref="B13:C13"/>
    <mergeCell ref="C17:C18"/>
    <mergeCell ref="D17:F17"/>
    <mergeCell ref="G17:I17"/>
    <mergeCell ref="B3:C6"/>
    <mergeCell ref="D3:D4"/>
    <mergeCell ref="E3:E4"/>
    <mergeCell ref="F3:J3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8"/>
  <sheetViews>
    <sheetView showGridLines="0" workbookViewId="0"/>
  </sheetViews>
  <sheetFormatPr defaultColWidth="9.1796875" defaultRowHeight="15.5" x14ac:dyDescent="0.35"/>
  <cols>
    <col min="1" max="1" width="9.1796875" style="5"/>
    <col min="2" max="2" width="25.26953125" style="5" customWidth="1"/>
    <col min="3" max="3" width="10.453125" style="5" bestFit="1" customWidth="1"/>
    <col min="4" max="4" width="9.453125" style="5" bestFit="1" customWidth="1"/>
    <col min="5" max="5" width="10.453125" style="5" bestFit="1" customWidth="1"/>
    <col min="6" max="6" width="9.453125" style="5" bestFit="1" customWidth="1"/>
    <col min="7" max="7" width="10.453125" style="5" bestFit="1" customWidth="1"/>
    <col min="8" max="8" width="9.453125" style="5" bestFit="1" customWidth="1"/>
    <col min="9" max="16384" width="9.1796875" style="5"/>
  </cols>
  <sheetData>
    <row r="2" spans="2:8" x14ac:dyDescent="0.35">
      <c r="B2" s="3" t="s">
        <v>467</v>
      </c>
    </row>
    <row r="3" spans="2:8" x14ac:dyDescent="0.35">
      <c r="B3" s="150" t="s">
        <v>170</v>
      </c>
      <c r="C3" s="187" t="s">
        <v>172</v>
      </c>
      <c r="D3" s="187"/>
      <c r="E3" s="187" t="s">
        <v>131</v>
      </c>
      <c r="F3" s="187"/>
      <c r="G3" s="187" t="s">
        <v>372</v>
      </c>
      <c r="H3" s="187"/>
    </row>
    <row r="4" spans="2:8" x14ac:dyDescent="0.35">
      <c r="B4" s="206"/>
      <c r="C4" s="6" t="s">
        <v>367</v>
      </c>
      <c r="D4" s="6" t="s">
        <v>468</v>
      </c>
      <c r="E4" s="6" t="s">
        <v>367</v>
      </c>
      <c r="F4" s="6" t="s">
        <v>468</v>
      </c>
      <c r="G4" s="6" t="s">
        <v>367</v>
      </c>
      <c r="H4" s="6" t="s">
        <v>468</v>
      </c>
    </row>
    <row r="5" spans="2:8" x14ac:dyDescent="0.35">
      <c r="B5" s="151"/>
      <c r="C5" s="6" t="s">
        <v>14</v>
      </c>
      <c r="D5" s="6" t="s">
        <v>382</v>
      </c>
      <c r="E5" s="6" t="s">
        <v>14</v>
      </c>
      <c r="F5" s="6" t="s">
        <v>382</v>
      </c>
      <c r="G5" s="6" t="s">
        <v>14</v>
      </c>
      <c r="H5" s="6" t="s">
        <v>382</v>
      </c>
    </row>
    <row r="6" spans="2:8" x14ac:dyDescent="0.35">
      <c r="B6" s="7" t="s">
        <v>43</v>
      </c>
      <c r="C6" s="97">
        <v>148.4649764208778</v>
      </c>
      <c r="D6" s="124">
        <f>EC!AM77</f>
        <v>4.1989999999999998</v>
      </c>
      <c r="E6" s="97">
        <f>ARR!V81</f>
        <v>176.46869663411564</v>
      </c>
      <c r="F6" s="124">
        <v>4.5059258682630574</v>
      </c>
      <c r="G6" s="97">
        <f ca="1">'AFC reduction'!J77</f>
        <v>173.173891582946</v>
      </c>
      <c r="H6" s="124">
        <f>EC!AO77</f>
        <v>4.4078314698710352</v>
      </c>
    </row>
    <row r="7" spans="2:8" x14ac:dyDescent="0.35">
      <c r="B7" s="7" t="s">
        <v>150</v>
      </c>
      <c r="C7" s="97">
        <v>880.07750232793592</v>
      </c>
      <c r="D7" s="124">
        <f>EC!AM78</f>
        <v>2.72</v>
      </c>
      <c r="E7" s="97">
        <f>ARR!V82</f>
        <v>1220.8484744432369</v>
      </c>
      <c r="F7" s="124">
        <v>3.8723800269526425</v>
      </c>
      <c r="G7" s="97">
        <f ca="1">'AFC reduction'!J78</f>
        <v>980.92892981409364</v>
      </c>
      <c r="H7" s="124">
        <f>EC!AO78</f>
        <v>4.1030114593447102</v>
      </c>
    </row>
    <row r="8" spans="2:8" x14ac:dyDescent="0.35">
      <c r="B8" s="7" t="s">
        <v>151</v>
      </c>
      <c r="C8" s="97">
        <v>470.65390512207631</v>
      </c>
      <c r="D8" s="124">
        <f>EC!AM79</f>
        <v>3.016</v>
      </c>
      <c r="E8" s="97">
        <f>ARR!V83</f>
        <v>707.25325672854478</v>
      </c>
      <c r="F8" s="124">
        <v>3.93601751131835</v>
      </c>
      <c r="G8" s="97">
        <f ca="1">'AFC reduction'!J79</f>
        <v>601.71807013283671</v>
      </c>
      <c r="H8" s="124">
        <f>EC!AO79</f>
        <v>4.1970128041617247</v>
      </c>
    </row>
    <row r="9" spans="2:8" x14ac:dyDescent="0.35">
      <c r="B9" s="7" t="s">
        <v>44</v>
      </c>
      <c r="C9" s="97">
        <v>196.56228988007189</v>
      </c>
      <c r="D9" s="124">
        <f>EC!AM80</f>
        <v>3.399</v>
      </c>
      <c r="E9" s="97">
        <f>ARR!V84</f>
        <v>332.51679102420474</v>
      </c>
      <c r="F9" s="124">
        <v>3.6234892949869799</v>
      </c>
      <c r="G9" s="97">
        <f ca="1">'AFC reduction'!J80</f>
        <v>298.53019778152338</v>
      </c>
      <c r="H9" s="124">
        <f>EC!AO80</f>
        <v>3.3185561396328245</v>
      </c>
    </row>
    <row r="10" spans="2:8" x14ac:dyDescent="0.35">
      <c r="B10" s="7" t="s">
        <v>152</v>
      </c>
      <c r="C10" s="97">
        <v>500.56120595911341</v>
      </c>
      <c r="D10" s="124">
        <f>EC!AM81</f>
        <v>3.66</v>
      </c>
      <c r="E10" s="97">
        <f>ARR!V85</f>
        <v>490.60510218380642</v>
      </c>
      <c r="F10" s="124">
        <v>5.0671805257424394</v>
      </c>
      <c r="G10" s="97">
        <f ca="1">'AFC reduction'!J81</f>
        <v>471.52626816859544</v>
      </c>
      <c r="H10" s="124">
        <f>EC!AO81</f>
        <v>4.6473819653329782</v>
      </c>
    </row>
    <row r="11" spans="2:8" x14ac:dyDescent="0.35">
      <c r="B11" s="7" t="s">
        <v>154</v>
      </c>
      <c r="C11" s="97">
        <v>212.88878731912439</v>
      </c>
      <c r="D11" s="124">
        <f>EC!AM82</f>
        <v>2.9319999999999999</v>
      </c>
      <c r="E11" s="97">
        <f>ARR!V86</f>
        <v>226.85014974030517</v>
      </c>
      <c r="F11" s="124">
        <v>8.5568470299845867</v>
      </c>
      <c r="G11" s="97">
        <f ca="1">'AFC reduction'!J82</f>
        <v>122.33715913880454</v>
      </c>
      <c r="H11" s="124">
        <f>EC!AO82</f>
        <v>6.7599156502109619</v>
      </c>
    </row>
    <row r="12" spans="2:8" x14ac:dyDescent="0.35">
      <c r="B12" s="7" t="s">
        <v>155</v>
      </c>
      <c r="C12" s="97">
        <v>432.87681802766451</v>
      </c>
      <c r="D12" s="124">
        <f>EC!AM83</f>
        <v>3.2269999999999999</v>
      </c>
      <c r="E12" s="97">
        <f>ARR!V87</f>
        <v>543.31405856105209</v>
      </c>
      <c r="F12" s="124">
        <v>3.2918163249098837</v>
      </c>
      <c r="G12" s="97">
        <f ca="1">'AFC reduction'!J83</f>
        <v>457.21018585929625</v>
      </c>
      <c r="H12" s="124">
        <f>EC!AO83</f>
        <v>3.4830999318225779</v>
      </c>
    </row>
    <row r="13" spans="2:8" x14ac:dyDescent="0.35">
      <c r="B13" s="7" t="s">
        <v>156</v>
      </c>
      <c r="C13" s="97">
        <v>417.73497405590291</v>
      </c>
      <c r="D13" s="124">
        <f>EC!AM84</f>
        <v>4.3600000000000003</v>
      </c>
      <c r="E13" s="97">
        <f>ARR!V88</f>
        <v>471.75909344215017</v>
      </c>
      <c r="F13" s="124">
        <v>4.4927429493576447</v>
      </c>
      <c r="G13" s="97">
        <f ca="1">'AFC reduction'!J84</f>
        <v>462.65137728470108</v>
      </c>
      <c r="H13" s="124">
        <f>EC!AO84</f>
        <v>5.1003959218498256</v>
      </c>
    </row>
    <row r="14" spans="2:8" x14ac:dyDescent="0.35">
      <c r="B14" s="7" t="s">
        <v>8</v>
      </c>
      <c r="C14" s="97">
        <v>511.98328108473009</v>
      </c>
      <c r="D14" s="124">
        <f>EC!AM85</f>
        <v>2.649</v>
      </c>
      <c r="E14" s="97">
        <f>ARR!V89</f>
        <v>575.11088038167918</v>
      </c>
      <c r="F14" s="124">
        <v>3.7823787303052554</v>
      </c>
      <c r="G14" s="97">
        <f ca="1">'AFC reduction'!J85</f>
        <v>555.32180611989531</v>
      </c>
      <c r="H14" s="124">
        <f>EC!AO85</f>
        <v>4.0066735934652424</v>
      </c>
    </row>
    <row r="15" spans="2:8" x14ac:dyDescent="0.35">
      <c r="B15" s="7" t="s">
        <v>157</v>
      </c>
      <c r="C15" s="97">
        <v>1052.4411317440708</v>
      </c>
      <c r="D15" s="124">
        <f>EC!AM86</f>
        <v>3.524</v>
      </c>
      <c r="E15" s="97">
        <f>ARR!V90</f>
        <v>1070.392345571641</v>
      </c>
      <c r="F15" s="124">
        <v>4.1347733800826756</v>
      </c>
      <c r="G15" s="97">
        <f ca="1">'AFC reduction'!J86</f>
        <v>1032.9964803477101</v>
      </c>
      <c r="H15" s="124">
        <f>EC!AO86</f>
        <v>3.7096442653012334</v>
      </c>
    </row>
    <row r="16" spans="2:8" x14ac:dyDescent="0.35">
      <c r="B16" s="7" t="s">
        <v>158</v>
      </c>
      <c r="C16" s="97">
        <v>1492.8154235321913</v>
      </c>
      <c r="D16" s="124">
        <f>EC!AM87</f>
        <v>2.4569999999999999</v>
      </c>
      <c r="E16" s="97">
        <f>ARR!V91</f>
        <v>2423.3867238990606</v>
      </c>
      <c r="F16" s="124">
        <v>3.4642909281295471</v>
      </c>
      <c r="G16" s="97">
        <f ca="1">'AFC reduction'!J87</f>
        <v>1946.1122805236141</v>
      </c>
      <c r="H16" s="124">
        <f>EC!AO87</f>
        <v>3.0835134930488954</v>
      </c>
    </row>
    <row r="17" spans="2:8" x14ac:dyDescent="0.35">
      <c r="B17" s="7" t="s">
        <v>159</v>
      </c>
      <c r="C17" s="97">
        <v>1081.7418234984737</v>
      </c>
      <c r="D17" s="124">
        <f>EC!AM88</f>
        <v>2.6360000000000001</v>
      </c>
      <c r="E17" s="97">
        <f>ARR!V92</f>
        <v>1234.1269103194591</v>
      </c>
      <c r="F17" s="124">
        <v>3.8476808956896957</v>
      </c>
      <c r="G17" s="97">
        <f ca="1">'AFC reduction'!J88</f>
        <v>1212.6384831660257</v>
      </c>
      <c r="H17" s="124">
        <f>EC!AO88</f>
        <v>3.443855511728386</v>
      </c>
    </row>
    <row r="18" spans="2:8" x14ac:dyDescent="0.35">
      <c r="B18" s="7" t="s">
        <v>160</v>
      </c>
      <c r="C18" s="97">
        <v>333.47612678338794</v>
      </c>
      <c r="D18" s="124">
        <f>EC!AM89</f>
        <v>4.1740000000000004</v>
      </c>
      <c r="E18" s="97">
        <f>ARR!V93</f>
        <v>400.735000400079</v>
      </c>
      <c r="F18" s="124">
        <v>4.6230772559559199</v>
      </c>
      <c r="G18" s="97">
        <f ca="1">'AFC reduction'!J89</f>
        <v>384.02883515903358</v>
      </c>
      <c r="H18" s="124">
        <f>EC!AO89</f>
        <v>5.016249717797459</v>
      </c>
    </row>
    <row r="19" spans="2:8" x14ac:dyDescent="0.35">
      <c r="B19" s="12" t="s">
        <v>27</v>
      </c>
      <c r="C19" s="98">
        <f>SUM(C6:C18)</f>
        <v>7732.2782457556204</v>
      </c>
      <c r="D19" s="97"/>
      <c r="E19" s="98">
        <f>SUM(E6:E18)</f>
        <v>9873.3674833293353</v>
      </c>
      <c r="F19" s="97"/>
      <c r="G19" s="98">
        <f ca="1">SUM(G6:G18)</f>
        <v>8699.1739650790751</v>
      </c>
      <c r="H19" s="97"/>
    </row>
    <row r="21" spans="2:8" x14ac:dyDescent="0.35">
      <c r="B21" s="3" t="s">
        <v>469</v>
      </c>
    </row>
    <row r="22" spans="2:8" x14ac:dyDescent="0.35">
      <c r="B22" s="150" t="s">
        <v>170</v>
      </c>
      <c r="C22" s="187" t="s">
        <v>172</v>
      </c>
      <c r="D22" s="187"/>
      <c r="E22" s="187" t="s">
        <v>131</v>
      </c>
      <c r="F22" s="187"/>
      <c r="G22" s="187" t="s">
        <v>372</v>
      </c>
      <c r="H22" s="187"/>
    </row>
    <row r="23" spans="2:8" x14ac:dyDescent="0.35">
      <c r="B23" s="206"/>
      <c r="C23" s="6" t="s">
        <v>367</v>
      </c>
      <c r="D23" s="6" t="s">
        <v>468</v>
      </c>
      <c r="E23" s="6" t="s">
        <v>367</v>
      </c>
      <c r="F23" s="6" t="s">
        <v>468</v>
      </c>
      <c r="G23" s="6" t="s">
        <v>367</v>
      </c>
      <c r="H23" s="6" t="s">
        <v>468</v>
      </c>
    </row>
    <row r="24" spans="2:8" x14ac:dyDescent="0.35">
      <c r="B24" s="151"/>
      <c r="C24" s="6" t="s">
        <v>14</v>
      </c>
      <c r="D24" s="6" t="s">
        <v>382</v>
      </c>
      <c r="E24" s="6" t="s">
        <v>14</v>
      </c>
      <c r="F24" s="6" t="s">
        <v>382</v>
      </c>
      <c r="G24" s="6" t="s">
        <v>14</v>
      </c>
      <c r="H24" s="6" t="s">
        <v>382</v>
      </c>
    </row>
    <row r="25" spans="2:8" x14ac:dyDescent="0.35">
      <c r="B25" s="7" t="s">
        <v>43</v>
      </c>
      <c r="C25" s="97">
        <v>153.33005239218738</v>
      </c>
      <c r="D25" s="124">
        <f>EC!AM95</f>
        <v>4.298</v>
      </c>
      <c r="E25" s="97">
        <f>ARR!V100</f>
        <v>182.12528209583189</v>
      </c>
      <c r="F25" s="124">
        <v>4.7312221616762118</v>
      </c>
      <c r="G25" s="97">
        <f ca="1">'AFC reduction'!J95</f>
        <v>177.83121188488445</v>
      </c>
      <c r="H25" s="124">
        <f>EC!AO95</f>
        <v>4.46127598597689</v>
      </c>
    </row>
    <row r="26" spans="2:8" x14ac:dyDescent="0.35">
      <c r="B26" s="7" t="s">
        <v>150</v>
      </c>
      <c r="C26" s="97">
        <v>893.20093230595057</v>
      </c>
      <c r="D26" s="124">
        <f>EC!AM96</f>
        <v>2.7829999999999999</v>
      </c>
      <c r="E26" s="97">
        <f>ARR!V101</f>
        <v>1465.8216933407671</v>
      </c>
      <c r="F26" s="124">
        <v>4.0659990283002747</v>
      </c>
      <c r="G26" s="97">
        <f ca="1">'AFC reduction'!J96</f>
        <v>1134.3185556584019</v>
      </c>
      <c r="H26" s="124">
        <f>EC!AO96</f>
        <v>4.096644080672605</v>
      </c>
    </row>
    <row r="27" spans="2:8" x14ac:dyDescent="0.35">
      <c r="B27" s="7" t="s">
        <v>151</v>
      </c>
      <c r="C27" s="97">
        <v>474.67006833906368</v>
      </c>
      <c r="D27" s="124">
        <f>EC!AM97</f>
        <v>3.0870000000000002</v>
      </c>
      <c r="E27" s="97">
        <f>ARR!V102</f>
        <v>792.8442875277135</v>
      </c>
      <c r="F27" s="124">
        <v>4.1328183868842672</v>
      </c>
      <c r="G27" s="97">
        <f ca="1">'AFC reduction'!J97</f>
        <v>641.370006743521</v>
      </c>
      <c r="H27" s="124">
        <f>EC!AO97</f>
        <v>4.2175207404200359</v>
      </c>
    </row>
    <row r="28" spans="2:8" x14ac:dyDescent="0.35">
      <c r="B28" s="7" t="s">
        <v>44</v>
      </c>
      <c r="C28" s="97">
        <v>201.9556507501384</v>
      </c>
      <c r="D28" s="124">
        <f>EC!AM98</f>
        <v>3.4889999999999999</v>
      </c>
      <c r="E28" s="97">
        <f>ARR!V103</f>
        <v>363.42379700643221</v>
      </c>
      <c r="F28" s="124">
        <v>3.8046637597363295</v>
      </c>
      <c r="G28" s="97">
        <f ca="1">'AFC reduction'!J98</f>
        <v>308.25819516335594</v>
      </c>
      <c r="H28" s="124">
        <f>EC!AO98</f>
        <v>3.3683344817273166</v>
      </c>
    </row>
    <row r="29" spans="2:8" x14ac:dyDescent="0.35">
      <c r="B29" s="7" t="s">
        <v>152</v>
      </c>
      <c r="C29" s="97">
        <v>497.29018992581177</v>
      </c>
      <c r="D29" s="124">
        <f>EC!AM99</f>
        <v>3.7530000000000001</v>
      </c>
      <c r="E29" s="97">
        <f>ARR!V104</f>
        <v>584.58351472092363</v>
      </c>
      <c r="F29" s="124">
        <v>5.3205395520295609</v>
      </c>
      <c r="G29" s="97">
        <f ca="1">'AFC reduction'!J99</f>
        <v>492.51479665487534</v>
      </c>
      <c r="H29" s="124">
        <f>EC!AO99</f>
        <v>4.6410727638049432</v>
      </c>
    </row>
    <row r="30" spans="2:8" x14ac:dyDescent="0.35">
      <c r="B30" s="7" t="s">
        <v>154</v>
      </c>
      <c r="C30" s="97">
        <v>213.65281877379388</v>
      </c>
      <c r="D30" s="124">
        <f>EC!AM100</f>
        <v>3.02</v>
      </c>
      <c r="E30" s="97">
        <f>ARR!V105</f>
        <v>381.28358679149227</v>
      </c>
      <c r="F30" s="124">
        <v>8.9846893814838165</v>
      </c>
      <c r="G30" s="97">
        <f ca="1">'AFC reduction'!J100</f>
        <v>127.50986910028544</v>
      </c>
      <c r="H30" s="124">
        <f>EC!AO100</f>
        <v>6.7599156502109619</v>
      </c>
    </row>
    <row r="31" spans="2:8" x14ac:dyDescent="0.35">
      <c r="B31" s="7" t="s">
        <v>155</v>
      </c>
      <c r="C31" s="97">
        <v>436.5549036851188</v>
      </c>
      <c r="D31" s="124">
        <f>EC!AM101</f>
        <v>3.3109999999999999</v>
      </c>
      <c r="E31" s="97">
        <f>ARR!V106</f>
        <v>670.54862769294425</v>
      </c>
      <c r="F31" s="124">
        <v>3.4564071411553781</v>
      </c>
      <c r="G31" s="97">
        <f ca="1">'AFC reduction'!J101</f>
        <v>562.63306019224308</v>
      </c>
      <c r="H31" s="124">
        <f>EC!AO101</f>
        <v>3.5095987760831298</v>
      </c>
    </row>
    <row r="32" spans="2:8" x14ac:dyDescent="0.35">
      <c r="B32" s="7" t="s">
        <v>156</v>
      </c>
      <c r="C32" s="97">
        <v>421.19662514801604</v>
      </c>
      <c r="D32" s="124">
        <f>EC!AM102</f>
        <v>4.4820000000000002</v>
      </c>
      <c r="E32" s="97">
        <f>ARR!V107</f>
        <v>632.17957820787024</v>
      </c>
      <c r="F32" s="124">
        <v>4.7173800968255284</v>
      </c>
      <c r="G32" s="97">
        <f ca="1">'AFC reduction'!J102</f>
        <v>482.25679961871185</v>
      </c>
      <c r="H32" s="124">
        <f>EC!AO102</f>
        <v>5.0960049654743802</v>
      </c>
    </row>
    <row r="33" spans="2:8" x14ac:dyDescent="0.35">
      <c r="B33" s="7" t="s">
        <v>8</v>
      </c>
      <c r="C33" s="97">
        <v>501.83327074483731</v>
      </c>
      <c r="D33" s="124">
        <f>EC!AM103</f>
        <v>2.7130000000000001</v>
      </c>
      <c r="E33" s="97">
        <f>ARR!V108</f>
        <v>624.91539995668757</v>
      </c>
      <c r="F33" s="124">
        <v>3.9714976668205191</v>
      </c>
      <c r="G33" s="97">
        <f ca="1">'AFC reduction'!J103</f>
        <v>584.65491824827575</v>
      </c>
      <c r="H33" s="124">
        <f>EC!AO103</f>
        <v>4.0186194212702864</v>
      </c>
    </row>
    <row r="34" spans="2:8" x14ac:dyDescent="0.35">
      <c r="B34" s="7" t="s">
        <v>157</v>
      </c>
      <c r="C34" s="97">
        <v>1029.0412275884908</v>
      </c>
      <c r="D34" s="124">
        <f>EC!AM104</f>
        <v>3.6150000000000002</v>
      </c>
      <c r="E34" s="97">
        <f>ARR!V109</f>
        <v>1142.3828893805628</v>
      </c>
      <c r="F34" s="124">
        <v>4.3415120490868091</v>
      </c>
      <c r="G34" s="97">
        <f ca="1">'AFC reduction'!J104</f>
        <v>1045.8444819825381</v>
      </c>
      <c r="H34" s="124">
        <f>EC!AO104</f>
        <v>3.746113949331829</v>
      </c>
    </row>
    <row r="35" spans="2:8" x14ac:dyDescent="0.35">
      <c r="B35" s="7" t="s">
        <v>158</v>
      </c>
      <c r="C35" s="97">
        <v>1462.8023455000246</v>
      </c>
      <c r="D35" s="124">
        <f>EC!AM105</f>
        <v>2.5179999999999998</v>
      </c>
      <c r="E35" s="97">
        <f>ARR!V110</f>
        <v>2565.2404757003101</v>
      </c>
      <c r="F35" s="124">
        <v>3.6375054745360247</v>
      </c>
      <c r="G35" s="97">
        <f ca="1">'AFC reduction'!J105</f>
        <v>1970.5184199350042</v>
      </c>
      <c r="H35" s="124">
        <f>EC!AO105</f>
        <v>3.119269562954587</v>
      </c>
    </row>
    <row r="36" spans="2:8" x14ac:dyDescent="0.35">
      <c r="B36" s="7" t="s">
        <v>159</v>
      </c>
      <c r="C36" s="97">
        <v>1064.0125047986585</v>
      </c>
      <c r="D36" s="124">
        <f>EC!AM106</f>
        <v>2.7</v>
      </c>
      <c r="E36" s="97">
        <f>ARR!V111</f>
        <v>1267.0061255181733</v>
      </c>
      <c r="F36" s="124">
        <v>4.0400649404741804</v>
      </c>
      <c r="G36" s="97">
        <f ca="1">'AFC reduction'!J106</f>
        <v>1228.2650757305732</v>
      </c>
      <c r="H36" s="124">
        <f>EC!AO106</f>
        <v>3.4418777433211036</v>
      </c>
    </row>
    <row r="37" spans="2:8" x14ac:dyDescent="0.35">
      <c r="B37" s="7" t="s">
        <v>160</v>
      </c>
      <c r="C37" s="97">
        <v>328.88065736941235</v>
      </c>
      <c r="D37" s="124">
        <f>EC!AM107</f>
        <v>4.29</v>
      </c>
      <c r="E37" s="97">
        <f>ARR!V112</f>
        <v>414.80349928366167</v>
      </c>
      <c r="F37" s="124">
        <v>4.8542311187537166</v>
      </c>
      <c r="G37" s="97">
        <f ca="1">'AFC reduction'!J107</f>
        <v>384.66144463966765</v>
      </c>
      <c r="H37" s="124">
        <f>EC!AO107</f>
        <v>5.0518799317948355</v>
      </c>
    </row>
    <row r="38" spans="2:8" x14ac:dyDescent="0.35">
      <c r="B38" s="12" t="s">
        <v>27</v>
      </c>
      <c r="C38" s="98">
        <f>SUM(C25:C37)</f>
        <v>7678.4212473215048</v>
      </c>
      <c r="D38" s="97"/>
      <c r="E38" s="98">
        <f>SUM(E25:E37)</f>
        <v>11087.158757223373</v>
      </c>
      <c r="F38" s="97"/>
      <c r="G38" s="98">
        <f ca="1">SUM(G25:G37)</f>
        <v>9140.6368355523373</v>
      </c>
      <c r="H38" s="97"/>
    </row>
  </sheetData>
  <mergeCells count="8">
    <mergeCell ref="B3:B5"/>
    <mergeCell ref="C3:D3"/>
    <mergeCell ref="E3:F3"/>
    <mergeCell ref="G3:H3"/>
    <mergeCell ref="B22:B24"/>
    <mergeCell ref="C22:D22"/>
    <mergeCell ref="E22:F22"/>
    <mergeCell ref="G22:H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75"/>
  <sheetViews>
    <sheetView showGridLines="0" zoomScale="79" workbookViewId="0">
      <selection activeCell="D6" sqref="D6"/>
    </sheetView>
  </sheetViews>
  <sheetFormatPr defaultColWidth="8.81640625" defaultRowHeight="14.5" x14ac:dyDescent="0.35"/>
  <cols>
    <col min="1" max="1" width="8.81640625" style="17"/>
    <col min="2" max="2" width="41.1796875" style="17" customWidth="1"/>
    <col min="3" max="3" width="15.1796875" style="17" customWidth="1"/>
    <col min="4" max="14" width="11.54296875" style="17" bestFit="1" customWidth="1"/>
    <col min="15" max="16384" width="8.81640625" style="17"/>
  </cols>
  <sheetData>
    <row r="2" spans="2:18" x14ac:dyDescent="0.35">
      <c r="B2" s="16" t="s">
        <v>50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4" spans="2:18" x14ac:dyDescent="0.35">
      <c r="B4" s="17" t="s">
        <v>51</v>
      </c>
      <c r="C4" s="17" t="s">
        <v>52</v>
      </c>
      <c r="D4" s="17">
        <v>6257.79</v>
      </c>
    </row>
    <row r="5" spans="2:18" x14ac:dyDescent="0.35">
      <c r="B5" s="17" t="s">
        <v>53</v>
      </c>
      <c r="C5" s="17" t="s">
        <v>52</v>
      </c>
      <c r="D5" s="18">
        <v>6302.29</v>
      </c>
    </row>
    <row r="6" spans="2:18" x14ac:dyDescent="0.35">
      <c r="B6" s="17" t="s">
        <v>54</v>
      </c>
      <c r="C6" s="17" t="s">
        <v>52</v>
      </c>
      <c r="D6" s="19">
        <f>D5-D4</f>
        <v>44.5</v>
      </c>
    </row>
    <row r="7" spans="2:18" x14ac:dyDescent="0.35">
      <c r="B7" s="17" t="s">
        <v>55</v>
      </c>
    </row>
    <row r="8" spans="2:18" x14ac:dyDescent="0.35">
      <c r="B8" s="17" t="s">
        <v>56</v>
      </c>
      <c r="C8" s="17" t="s">
        <v>16</v>
      </c>
      <c r="D8" s="20">
        <v>0.79589404612563919</v>
      </c>
    </row>
    <row r="9" spans="2:18" x14ac:dyDescent="0.35">
      <c r="B9" s="17" t="s">
        <v>57</v>
      </c>
      <c r="C9" s="17" t="s">
        <v>16</v>
      </c>
      <c r="D9" s="20">
        <v>0.20410595387436081</v>
      </c>
    </row>
    <row r="10" spans="2:18" x14ac:dyDescent="0.35">
      <c r="B10" s="17" t="s">
        <v>58</v>
      </c>
      <c r="C10" s="21">
        <v>41642</v>
      </c>
    </row>
    <row r="14" spans="2:18" x14ac:dyDescent="0.35">
      <c r="C14" s="154" t="s">
        <v>59</v>
      </c>
      <c r="D14" s="154"/>
      <c r="E14" s="154"/>
      <c r="F14" s="154"/>
      <c r="G14" s="154"/>
      <c r="H14" s="154"/>
    </row>
    <row r="15" spans="2:18" x14ac:dyDescent="0.35">
      <c r="C15" s="21">
        <f>C10</f>
        <v>41642</v>
      </c>
      <c r="D15" s="21">
        <f>C16+1</f>
        <v>41730</v>
      </c>
      <c r="E15" s="21">
        <f>D16+1</f>
        <v>42095</v>
      </c>
      <c r="F15" s="21">
        <f t="shared" ref="F15:N15" si="0">E16+1</f>
        <v>42461</v>
      </c>
      <c r="G15" s="21">
        <f t="shared" si="0"/>
        <v>42826</v>
      </c>
      <c r="H15" s="21">
        <f t="shared" si="0"/>
        <v>43191</v>
      </c>
      <c r="I15" s="21">
        <f t="shared" si="0"/>
        <v>43556</v>
      </c>
      <c r="J15" s="21">
        <f t="shared" si="0"/>
        <v>43922</v>
      </c>
      <c r="K15" s="21">
        <f t="shared" si="0"/>
        <v>44287</v>
      </c>
      <c r="L15" s="21">
        <f t="shared" si="0"/>
        <v>44652</v>
      </c>
      <c r="M15" s="21">
        <f t="shared" si="0"/>
        <v>45017</v>
      </c>
      <c r="N15" s="21">
        <f t="shared" si="0"/>
        <v>45383</v>
      </c>
      <c r="O15" s="21"/>
      <c r="P15" s="21"/>
      <c r="Q15" s="21"/>
      <c r="R15" s="21"/>
    </row>
    <row r="16" spans="2:18" x14ac:dyDescent="0.35">
      <c r="B16" s="17" t="s">
        <v>60</v>
      </c>
      <c r="C16" s="21">
        <f>IF(MONTH(C15)&gt;3,DATE(YEAR(C15)+1,3,31),DATE(YEAR(C15),3,31))</f>
        <v>41729</v>
      </c>
      <c r="D16" s="21">
        <f>DATE(YEAR(D15)+1,3,31)</f>
        <v>42094</v>
      </c>
      <c r="E16" s="21">
        <f t="shared" ref="E16:N16" si="1">DATE(YEAR(E15)+1,3,31)</f>
        <v>42460</v>
      </c>
      <c r="F16" s="21">
        <f t="shared" si="1"/>
        <v>42825</v>
      </c>
      <c r="G16" s="21">
        <f t="shared" si="1"/>
        <v>43190</v>
      </c>
      <c r="H16" s="21">
        <f t="shared" si="1"/>
        <v>43555</v>
      </c>
      <c r="I16" s="21">
        <f t="shared" si="1"/>
        <v>43921</v>
      </c>
      <c r="J16" s="21">
        <f t="shared" si="1"/>
        <v>44286</v>
      </c>
      <c r="K16" s="21">
        <f t="shared" si="1"/>
        <v>44651</v>
      </c>
      <c r="L16" s="21">
        <f t="shared" si="1"/>
        <v>45016</v>
      </c>
      <c r="M16" s="21">
        <f t="shared" si="1"/>
        <v>45382</v>
      </c>
      <c r="N16" s="21">
        <f t="shared" si="1"/>
        <v>45747</v>
      </c>
      <c r="O16" s="21"/>
      <c r="P16" s="21"/>
      <c r="Q16" s="21"/>
      <c r="R16" s="21"/>
    </row>
    <row r="17" spans="2:18" x14ac:dyDescent="0.35">
      <c r="B17" s="17" t="s">
        <v>61</v>
      </c>
      <c r="C17" s="22">
        <f>_xlfn.DAYS(C16,C15)+1</f>
        <v>88</v>
      </c>
      <c r="D17" s="22">
        <f t="shared" ref="D17:H17" si="2">_xlfn.DAYS(D16,D15)+1</f>
        <v>365</v>
      </c>
      <c r="E17" s="22">
        <f t="shared" si="2"/>
        <v>366</v>
      </c>
      <c r="F17" s="22">
        <f t="shared" si="2"/>
        <v>365</v>
      </c>
      <c r="G17" s="22">
        <f t="shared" si="2"/>
        <v>365</v>
      </c>
      <c r="H17" s="22">
        <f t="shared" si="2"/>
        <v>365</v>
      </c>
      <c r="L17" s="21"/>
      <c r="M17" s="21"/>
      <c r="N17" s="21"/>
      <c r="O17" s="21"/>
      <c r="P17" s="21"/>
      <c r="Q17" s="21"/>
      <c r="R17" s="21"/>
    </row>
    <row r="18" spans="2:18" x14ac:dyDescent="0.35">
      <c r="B18" s="23" t="s">
        <v>62</v>
      </c>
      <c r="C18" s="23"/>
      <c r="D18" s="23"/>
      <c r="E18" s="23"/>
      <c r="F18" s="23"/>
      <c r="G18" s="23"/>
      <c r="H18" s="23"/>
    </row>
    <row r="19" spans="2:18" x14ac:dyDescent="0.35">
      <c r="B19" s="17" t="s">
        <v>63</v>
      </c>
      <c r="C19" s="18">
        <f>D8*$D$6</f>
        <v>35.417285052590941</v>
      </c>
      <c r="D19" s="18">
        <f>C21</f>
        <v>34.850806148481354</v>
      </c>
      <c r="E19" s="18">
        <f t="shared" ref="E19:H19" si="3">D21</f>
        <v>32.501206148481351</v>
      </c>
      <c r="F19" s="18">
        <f t="shared" si="3"/>
        <v>30.14516888820738</v>
      </c>
      <c r="G19" s="18">
        <f t="shared" si="3"/>
        <v>27.795568888207381</v>
      </c>
      <c r="H19" s="18">
        <f t="shared" si="3"/>
        <v>25.445968888207382</v>
      </c>
    </row>
    <row r="20" spans="2:18" x14ac:dyDescent="0.35">
      <c r="B20" s="17" t="s">
        <v>64</v>
      </c>
      <c r="C20" s="18">
        <f>C34</f>
        <v>0.56647890410958912</v>
      </c>
      <c r="D20" s="18">
        <f>D34</f>
        <v>2.3496000000000001</v>
      </c>
      <c r="E20" s="18">
        <f t="shared" ref="E20:H20" si="4">E34</f>
        <v>2.3560372602739728</v>
      </c>
      <c r="F20" s="18">
        <f t="shared" si="4"/>
        <v>2.3496000000000001</v>
      </c>
      <c r="G20" s="18">
        <f t="shared" si="4"/>
        <v>2.3496000000000001</v>
      </c>
      <c r="H20" s="18">
        <f t="shared" si="4"/>
        <v>2.3496000000000001</v>
      </c>
    </row>
    <row r="21" spans="2:18" x14ac:dyDescent="0.35">
      <c r="B21" s="17" t="s">
        <v>65</v>
      </c>
      <c r="C21" s="18">
        <f>C19-C20</f>
        <v>34.850806148481354</v>
      </c>
      <c r="D21" s="18">
        <f>D19-D20</f>
        <v>32.501206148481351</v>
      </c>
      <c r="E21" s="18">
        <f t="shared" ref="E21:H21" si="5">E19-E20</f>
        <v>30.14516888820738</v>
      </c>
      <c r="F21" s="18">
        <f t="shared" si="5"/>
        <v>27.795568888207381</v>
      </c>
      <c r="G21" s="18">
        <f t="shared" si="5"/>
        <v>25.445968888207382</v>
      </c>
      <c r="H21" s="18">
        <f t="shared" si="5"/>
        <v>23.096368888207383</v>
      </c>
    </row>
    <row r="22" spans="2:18" x14ac:dyDescent="0.35">
      <c r="B22" s="17" t="s">
        <v>66</v>
      </c>
      <c r="C22" s="18">
        <f>AVERAGE(C19,C21)</f>
        <v>35.134045600536147</v>
      </c>
      <c r="D22" s="18">
        <f>AVERAGE(D19,D21)</f>
        <v>33.676006148481349</v>
      </c>
      <c r="E22" s="18">
        <f t="shared" ref="E22:H22" si="6">AVERAGE(E19,E21)</f>
        <v>31.323187518344366</v>
      </c>
      <c r="F22" s="18">
        <f t="shared" si="6"/>
        <v>28.970368888207382</v>
      </c>
      <c r="G22" s="18">
        <f t="shared" si="6"/>
        <v>26.62076888820738</v>
      </c>
      <c r="H22" s="18">
        <f t="shared" si="6"/>
        <v>24.271168888207384</v>
      </c>
    </row>
    <row r="23" spans="2:18" x14ac:dyDescent="0.35">
      <c r="B23" s="17" t="s">
        <v>67</v>
      </c>
      <c r="C23" s="24">
        <v>0.1225</v>
      </c>
      <c r="D23" s="24">
        <v>0.1225</v>
      </c>
      <c r="E23" s="24">
        <v>0.1194686786871291</v>
      </c>
      <c r="F23" s="24">
        <v>0.10340001163871815</v>
      </c>
      <c r="G23" s="24">
        <v>0.10351991314976036</v>
      </c>
      <c r="H23" s="24">
        <v>0.103649711893677</v>
      </c>
    </row>
    <row r="24" spans="2:18" x14ac:dyDescent="0.35">
      <c r="B24" s="17" t="s">
        <v>62</v>
      </c>
      <c r="C24" s="18">
        <f>C23*C22/365*C17</f>
        <v>1.0376575659555609</v>
      </c>
      <c r="D24" s="18">
        <f>D23*D22</f>
        <v>4.1253107531889652</v>
      </c>
      <c r="E24" s="18">
        <f t="shared" ref="E24:H24" si="7">E23*E22</f>
        <v>3.7421398250857756</v>
      </c>
      <c r="F24" s="18">
        <f t="shared" si="7"/>
        <v>2.9955364802186013</v>
      </c>
      <c r="G24" s="18">
        <f t="shared" si="7"/>
        <v>2.7557796832870705</v>
      </c>
      <c r="H24" s="18">
        <f t="shared" si="7"/>
        <v>2.515699662585472</v>
      </c>
    </row>
    <row r="26" spans="2:18" x14ac:dyDescent="0.35">
      <c r="B26" s="23" t="s">
        <v>25</v>
      </c>
      <c r="C26" s="23"/>
      <c r="D26" s="23"/>
      <c r="E26" s="23"/>
      <c r="F26" s="23"/>
      <c r="G26" s="23"/>
      <c r="H26" s="23"/>
    </row>
    <row r="27" spans="2:18" x14ac:dyDescent="0.35">
      <c r="B27" s="17" t="s">
        <v>68</v>
      </c>
      <c r="C27" s="18">
        <f>D9*$D$6</f>
        <v>9.0827149474090554</v>
      </c>
      <c r="D27" s="18">
        <f>C27</f>
        <v>9.0827149474090554</v>
      </c>
      <c r="E27" s="18">
        <f t="shared" ref="E27:H27" si="8">D27</f>
        <v>9.0827149474090554</v>
      </c>
      <c r="F27" s="18">
        <f t="shared" si="8"/>
        <v>9.0827149474090554</v>
      </c>
      <c r="G27" s="18">
        <f t="shared" si="8"/>
        <v>9.0827149474090554</v>
      </c>
      <c r="H27" s="18">
        <f t="shared" si="8"/>
        <v>9.0827149474090554</v>
      </c>
    </row>
    <row r="28" spans="2:18" x14ac:dyDescent="0.35">
      <c r="B28" s="17" t="s">
        <v>69</v>
      </c>
      <c r="C28" s="25">
        <v>0.155</v>
      </c>
      <c r="D28" s="24">
        <v>0.155</v>
      </c>
      <c r="E28" s="25">
        <v>0.155</v>
      </c>
      <c r="F28" s="25">
        <v>7.4999999999999997E-2</v>
      </c>
      <c r="G28" s="25">
        <v>7.4999999999999997E-2</v>
      </c>
      <c r="H28" s="25">
        <v>0.155</v>
      </c>
    </row>
    <row r="29" spans="2:18" x14ac:dyDescent="0.35">
      <c r="B29" s="17" t="s">
        <v>70</v>
      </c>
      <c r="C29" s="18">
        <f>C27*C28*C17/365</f>
        <v>0.33941981337714938</v>
      </c>
      <c r="D29" s="18">
        <f>D27*D28</f>
        <v>1.4078208168484037</v>
      </c>
      <c r="E29" s="18">
        <f t="shared" ref="E29:H29" si="9">E27*E28</f>
        <v>1.4078208168484037</v>
      </c>
      <c r="F29" s="18">
        <f t="shared" si="9"/>
        <v>0.68120362105567911</v>
      </c>
      <c r="G29" s="18">
        <f t="shared" si="9"/>
        <v>0.68120362105567911</v>
      </c>
      <c r="H29" s="18">
        <f t="shared" si="9"/>
        <v>1.4078208168484037</v>
      </c>
    </row>
    <row r="31" spans="2:18" x14ac:dyDescent="0.35">
      <c r="B31" s="23" t="s">
        <v>71</v>
      </c>
      <c r="C31" s="23"/>
      <c r="D31" s="23"/>
      <c r="E31" s="23"/>
      <c r="F31" s="23"/>
      <c r="G31" s="23"/>
      <c r="H31" s="23"/>
    </row>
    <row r="32" spans="2:18" x14ac:dyDescent="0.35">
      <c r="B32" s="17" t="s">
        <v>72</v>
      </c>
      <c r="C32" s="18">
        <f>D6</f>
        <v>44.5</v>
      </c>
      <c r="D32" s="18">
        <f>$C$32</f>
        <v>44.5</v>
      </c>
      <c r="E32" s="18">
        <f t="shared" ref="E32:H32" si="10">$C$32</f>
        <v>44.5</v>
      </c>
      <c r="F32" s="18">
        <f t="shared" si="10"/>
        <v>44.5</v>
      </c>
      <c r="G32" s="18">
        <f t="shared" si="10"/>
        <v>44.5</v>
      </c>
      <c r="H32" s="18">
        <f t="shared" si="10"/>
        <v>44.5</v>
      </c>
      <c r="L32" s="18"/>
      <c r="M32" s="18"/>
      <c r="N32" s="18"/>
      <c r="O32" s="18"/>
    </row>
    <row r="33" spans="2:17" x14ac:dyDescent="0.35">
      <c r="B33" s="17" t="s">
        <v>73</v>
      </c>
      <c r="C33" s="26">
        <v>5.28E-2</v>
      </c>
      <c r="D33" s="26">
        <v>5.28E-2</v>
      </c>
      <c r="E33" s="26">
        <v>5.28E-2</v>
      </c>
      <c r="F33" s="26">
        <v>5.28E-2</v>
      </c>
      <c r="G33" s="26">
        <v>5.28E-2</v>
      </c>
      <c r="H33" s="26">
        <v>5.28E-2</v>
      </c>
    </row>
    <row r="34" spans="2:17" x14ac:dyDescent="0.35">
      <c r="B34" s="17" t="s">
        <v>71</v>
      </c>
      <c r="C34" s="18">
        <f>C32*C33/365*C17</f>
        <v>0.56647890410958912</v>
      </c>
      <c r="D34" s="18">
        <f t="shared" ref="D34:H34" si="11">D32*D33/365*D17</f>
        <v>2.3496000000000001</v>
      </c>
      <c r="E34" s="18">
        <f t="shared" si="11"/>
        <v>2.3560372602739728</v>
      </c>
      <c r="F34" s="18">
        <f t="shared" si="11"/>
        <v>2.3496000000000001</v>
      </c>
      <c r="G34" s="18">
        <f t="shared" si="11"/>
        <v>2.3496000000000001</v>
      </c>
      <c r="H34" s="18">
        <f t="shared" si="11"/>
        <v>2.3496000000000001</v>
      </c>
    </row>
    <row r="36" spans="2:17" x14ac:dyDescent="0.35">
      <c r="B36" s="23" t="s">
        <v>74</v>
      </c>
      <c r="C36" s="23"/>
      <c r="D36" s="23"/>
      <c r="E36" s="23"/>
      <c r="F36" s="23"/>
      <c r="G36" s="23"/>
      <c r="H36" s="23"/>
    </row>
    <row r="37" spans="2:17" x14ac:dyDescent="0.35">
      <c r="B37" s="17" t="s">
        <v>75</v>
      </c>
      <c r="C37" s="18">
        <f ca="1">SUM(C24,C29,C34,C39)*2/12</f>
        <v>0.33191978198997513</v>
      </c>
      <c r="D37" s="18">
        <f ca="1">SUM(D24,D29,D34,D39)*2/12</f>
        <v>1.3462098147105064</v>
      </c>
      <c r="E37" s="18">
        <f t="shared" ref="E37:H37" ca="1" si="12">SUM(E24,E29,E34,E39)*2/12</f>
        <v>1.2809963140554914</v>
      </c>
      <c r="F37" s="18">
        <f t="shared" ca="1" si="12"/>
        <v>1.0227830656768013</v>
      </c>
      <c r="G37" s="18">
        <f t="shared" ca="1" si="12"/>
        <v>0.98107614261007603</v>
      </c>
      <c r="H37" s="18">
        <f t="shared" ca="1" si="12"/>
        <v>1.0630425648495834</v>
      </c>
    </row>
    <row r="38" spans="2:17" x14ac:dyDescent="0.35">
      <c r="B38" s="17" t="s">
        <v>76</v>
      </c>
      <c r="C38" s="25">
        <v>0.14449999999999999</v>
      </c>
      <c r="D38" s="27">
        <v>0.14449999999999999</v>
      </c>
      <c r="E38" s="25">
        <v>0.14050000000000001</v>
      </c>
      <c r="F38" s="25">
        <v>0.1079</v>
      </c>
      <c r="G38" s="25">
        <v>0.1018</v>
      </c>
      <c r="H38" s="25">
        <v>9.8900000000000002E-2</v>
      </c>
      <c r="I38" s="26">
        <v>9.6572404371584694E-2</v>
      </c>
      <c r="J38" s="26">
        <v>8.5699999999999998E-2</v>
      </c>
      <c r="K38" s="26">
        <v>8.5000000000000006E-2</v>
      </c>
      <c r="L38" s="26">
        <v>9.4500000000000001E-2</v>
      </c>
      <c r="M38" s="26">
        <f>L38</f>
        <v>9.4500000000000001E-2</v>
      </c>
      <c r="N38" s="26">
        <f>M38</f>
        <v>9.4500000000000001E-2</v>
      </c>
      <c r="Q38" s="26"/>
    </row>
    <row r="39" spans="2:17" x14ac:dyDescent="0.35">
      <c r="B39" s="17" t="s">
        <v>77</v>
      </c>
      <c r="C39" s="18">
        <f ca="1">C37*C38</f>
        <v>4.7962408497551401E-2</v>
      </c>
      <c r="D39" s="18">
        <f t="shared" ref="D39:H39" ca="1" si="13">D37*D38</f>
        <v>0.19452731822566816</v>
      </c>
      <c r="E39" s="18">
        <f t="shared" ca="1" si="13"/>
        <v>0.17997998212479657</v>
      </c>
      <c r="F39" s="18">
        <f t="shared" ca="1" si="13"/>
        <v>0.11035829278652685</v>
      </c>
      <c r="G39" s="18">
        <f t="shared" ca="1" si="13"/>
        <v>9.9873551317705742E-2</v>
      </c>
      <c r="H39" s="18">
        <f t="shared" ca="1" si="13"/>
        <v>0.10513490966362379</v>
      </c>
    </row>
    <row r="40" spans="2:17" x14ac:dyDescent="0.35">
      <c r="C40" s="18"/>
      <c r="D40" s="18"/>
      <c r="E40" s="18"/>
      <c r="F40" s="18"/>
      <c r="G40" s="18"/>
      <c r="H40" s="18"/>
    </row>
    <row r="41" spans="2:17" x14ac:dyDescent="0.35">
      <c r="B41" s="28" t="s">
        <v>78</v>
      </c>
      <c r="C41" s="29">
        <f ca="1">SUM(C24,C29,C34,C39)</f>
        <v>1.9915186919398509</v>
      </c>
      <c r="D41" s="29">
        <f ca="1">SUM(D24,D29,D34,D39)</f>
        <v>8.0772588882630387</v>
      </c>
      <c r="E41" s="29">
        <f t="shared" ref="E41:H41" ca="1" si="14">SUM(E24,E29,E34,E39)</f>
        <v>7.6859778843329485</v>
      </c>
      <c r="F41" s="29">
        <f t="shared" ca="1" si="14"/>
        <v>6.136698394060808</v>
      </c>
      <c r="G41" s="29">
        <f t="shared" ca="1" si="14"/>
        <v>5.8864568556604562</v>
      </c>
      <c r="H41" s="29">
        <f t="shared" ca="1" si="14"/>
        <v>6.3782553890975002</v>
      </c>
      <c r="I41" s="155" t="s">
        <v>79</v>
      </c>
      <c r="J41" s="155"/>
      <c r="K41" s="155"/>
      <c r="L41" s="155"/>
      <c r="M41" s="155"/>
      <c r="N41" s="155"/>
    </row>
    <row r="43" spans="2:17" x14ac:dyDescent="0.35">
      <c r="B43" s="17" t="s">
        <v>80</v>
      </c>
      <c r="C43" s="30">
        <v>0.8</v>
      </c>
      <c r="D43" s="30">
        <v>0.85</v>
      </c>
      <c r="E43" s="30">
        <v>0.85</v>
      </c>
      <c r="F43" s="30">
        <v>0.85</v>
      </c>
      <c r="G43" s="30">
        <v>0.85</v>
      </c>
      <c r="H43" s="30">
        <v>0.85</v>
      </c>
    </row>
    <row r="44" spans="2:17" x14ac:dyDescent="0.35">
      <c r="B44" s="17" t="s">
        <v>81</v>
      </c>
      <c r="C44" s="31">
        <v>0.55373757687745651</v>
      </c>
      <c r="D44" s="24">
        <v>0.82638960338852518</v>
      </c>
      <c r="E44" s="24">
        <v>0.89090000000000003</v>
      </c>
      <c r="F44" s="24">
        <v>0.93489999999999995</v>
      </c>
      <c r="G44" s="24">
        <v>0.80900000000000005</v>
      </c>
      <c r="H44" s="24">
        <v>0.82030000000000003</v>
      </c>
    </row>
    <row r="45" spans="2:17" x14ac:dyDescent="0.35">
      <c r="B45" s="17" t="s">
        <v>82</v>
      </c>
      <c r="C45" s="18">
        <f t="shared" ref="C45:H45" ca="1" si="15">C41/C43*IF(C44&gt;85%,85%,C44)</f>
        <v>1.3784734184761684</v>
      </c>
      <c r="D45" s="18">
        <f t="shared" ca="1" si="15"/>
        <v>7.8528973754566262</v>
      </c>
      <c r="E45" s="18">
        <f t="shared" ca="1" si="15"/>
        <v>7.6859778843329494</v>
      </c>
      <c r="F45" s="18">
        <f t="shared" ca="1" si="15"/>
        <v>6.136698394060808</v>
      </c>
      <c r="G45" s="18">
        <f t="shared" ca="1" si="15"/>
        <v>5.6025218779168346</v>
      </c>
      <c r="H45" s="18">
        <f t="shared" ca="1" si="15"/>
        <v>6.1553916419725647</v>
      </c>
    </row>
    <row r="47" spans="2:17" x14ac:dyDescent="0.35">
      <c r="B47" s="23" t="s">
        <v>83</v>
      </c>
      <c r="C47" s="32" t="s">
        <v>84</v>
      </c>
      <c r="D47" s="32" t="s">
        <v>85</v>
      </c>
      <c r="E47" s="32" t="s">
        <v>86</v>
      </c>
      <c r="F47" s="32" t="s">
        <v>87</v>
      </c>
      <c r="G47" s="32" t="s">
        <v>88</v>
      </c>
      <c r="H47" s="32" t="s">
        <v>89</v>
      </c>
      <c r="I47" s="32" t="s">
        <v>90</v>
      </c>
      <c r="J47" s="32" t="s">
        <v>91</v>
      </c>
      <c r="K47" s="32" t="s">
        <v>92</v>
      </c>
      <c r="L47" s="32" t="s">
        <v>93</v>
      </c>
      <c r="M47" s="32" t="s">
        <v>94</v>
      </c>
      <c r="O47" s="33"/>
    </row>
    <row r="48" spans="2:17" x14ac:dyDescent="0.35">
      <c r="B48" s="17" t="s">
        <v>95</v>
      </c>
      <c r="C48" s="17">
        <v>0</v>
      </c>
      <c r="D48" s="18">
        <f ca="1">C50</f>
        <v>1.3784734184761684</v>
      </c>
      <c r="E48" s="18">
        <f t="shared" ref="E48:M48" ca="1" si="16">D50</f>
        <v>9.2313707939327951</v>
      </c>
      <c r="F48" s="18">
        <f t="shared" ca="1" si="16"/>
        <v>16.917348678265746</v>
      </c>
      <c r="G48" s="18">
        <f t="shared" ca="1" si="16"/>
        <v>23.054047072326554</v>
      </c>
      <c r="H48" s="18">
        <f t="shared" ca="1" si="16"/>
        <v>28.65656895024339</v>
      </c>
      <c r="I48" s="18">
        <f t="shared" ca="1" si="16"/>
        <v>34.811960592215954</v>
      </c>
      <c r="J48" s="18">
        <f t="shared" ca="1" si="16"/>
        <v>34.811960592215954</v>
      </c>
      <c r="K48" s="18">
        <f t="shared" ca="1" si="16"/>
        <v>34.811960592215954</v>
      </c>
      <c r="L48" s="18">
        <f t="shared" ca="1" si="16"/>
        <v>34.811960592215954</v>
      </c>
      <c r="M48" s="18">
        <f t="shared" ca="1" si="16"/>
        <v>34.811960592215954</v>
      </c>
    </row>
    <row r="49" spans="2:15" x14ac:dyDescent="0.35">
      <c r="B49" s="17" t="s">
        <v>96</v>
      </c>
      <c r="C49" s="18">
        <f ca="1">C45</f>
        <v>1.3784734184761684</v>
      </c>
      <c r="D49" s="18">
        <f t="shared" ref="D49:M49" ca="1" si="17">D45</f>
        <v>7.8528973754566262</v>
      </c>
      <c r="E49" s="18">
        <f t="shared" ca="1" si="17"/>
        <v>7.6859778843329494</v>
      </c>
      <c r="F49" s="18">
        <f t="shared" ca="1" si="17"/>
        <v>6.136698394060808</v>
      </c>
      <c r="G49" s="18">
        <f t="shared" ca="1" si="17"/>
        <v>5.6025218779168346</v>
      </c>
      <c r="H49" s="18">
        <f t="shared" ca="1" si="17"/>
        <v>6.1553916419725647</v>
      </c>
      <c r="I49" s="18">
        <f t="shared" si="17"/>
        <v>0</v>
      </c>
      <c r="J49" s="18">
        <f t="shared" si="17"/>
        <v>0</v>
      </c>
      <c r="K49" s="18">
        <f t="shared" si="17"/>
        <v>0</v>
      </c>
      <c r="L49" s="18">
        <f t="shared" si="17"/>
        <v>0</v>
      </c>
      <c r="M49" s="18">
        <f t="shared" si="17"/>
        <v>0</v>
      </c>
    </row>
    <row r="50" spans="2:15" x14ac:dyDescent="0.35">
      <c r="B50" s="17" t="s">
        <v>97</v>
      </c>
      <c r="C50" s="18">
        <f ca="1">C48+C49</f>
        <v>1.3784734184761684</v>
      </c>
      <c r="D50" s="18">
        <f t="shared" ref="D50:M50" ca="1" si="18">D48+D49</f>
        <v>9.2313707939327951</v>
      </c>
      <c r="E50" s="18">
        <f t="shared" ca="1" si="18"/>
        <v>16.917348678265746</v>
      </c>
      <c r="F50" s="18">
        <f t="shared" ca="1" si="18"/>
        <v>23.054047072326554</v>
      </c>
      <c r="G50" s="18">
        <f t="shared" ca="1" si="18"/>
        <v>28.65656895024339</v>
      </c>
      <c r="H50" s="18">
        <f t="shared" ca="1" si="18"/>
        <v>34.811960592215954</v>
      </c>
      <c r="I50" s="18">
        <f t="shared" ca="1" si="18"/>
        <v>34.811960592215954</v>
      </c>
      <c r="J50" s="18">
        <f t="shared" ca="1" si="18"/>
        <v>34.811960592215954</v>
      </c>
      <c r="K50" s="18">
        <f t="shared" ca="1" si="18"/>
        <v>34.811960592215954</v>
      </c>
      <c r="L50" s="18">
        <f t="shared" ca="1" si="18"/>
        <v>34.811960592215954</v>
      </c>
      <c r="M50" s="18">
        <f t="shared" ca="1" si="18"/>
        <v>34.811960592215954</v>
      </c>
      <c r="O50" s="18"/>
    </row>
    <row r="51" spans="2:15" x14ac:dyDescent="0.35">
      <c r="B51" s="16" t="s">
        <v>83</v>
      </c>
      <c r="C51" s="29">
        <f ca="1">(C48*C38+C49/2*C38)*C17/365</f>
        <v>2.4011873958004051E-2</v>
      </c>
      <c r="D51" s="29">
        <f t="shared" ref="D51:M51" ca="1" si="19">(D48*D38+D49/2*D38)</f>
        <v>0.76656124434654749</v>
      </c>
      <c r="E51" s="29">
        <f t="shared" ca="1" si="19"/>
        <v>1.8369475429219477</v>
      </c>
      <c r="F51" s="29">
        <f t="shared" ca="1" si="19"/>
        <v>2.1564568007444547</v>
      </c>
      <c r="G51" s="29">
        <f t="shared" ca="1" si="19"/>
        <v>2.6320703555488101</v>
      </c>
      <c r="H51" s="29">
        <f t="shared" ca="1" si="19"/>
        <v>3.1385187858746146</v>
      </c>
      <c r="I51" s="29">
        <f ca="1">(I48*I38+I49/2*I38)</f>
        <v>3.3618747352791503</v>
      </c>
      <c r="J51" s="29">
        <f t="shared" ca="1" si="19"/>
        <v>2.9833850227529073</v>
      </c>
      <c r="K51" s="29">
        <f t="shared" ca="1" si="19"/>
        <v>2.9590166503383561</v>
      </c>
      <c r="L51" s="29">
        <f t="shared" ca="1" si="19"/>
        <v>3.2897302759644078</v>
      </c>
      <c r="M51" s="29">
        <f t="shared" ca="1" si="19"/>
        <v>3.2897302759644078</v>
      </c>
    </row>
    <row r="53" spans="2:15" x14ac:dyDescent="0.35">
      <c r="B53" s="16" t="s">
        <v>98</v>
      </c>
      <c r="C53" s="19">
        <f ca="1">SUM(M50:M51)</f>
        <v>38.101690868180363</v>
      </c>
    </row>
    <row r="56" spans="2:15" x14ac:dyDescent="0.35">
      <c r="B56" s="16"/>
      <c r="C56" s="21"/>
      <c r="D56" s="21"/>
      <c r="E56" s="21"/>
      <c r="F56" s="21"/>
      <c r="G56" s="21"/>
      <c r="H56" s="21"/>
      <c r="L56" s="21"/>
      <c r="M56" s="21"/>
      <c r="N56" s="21"/>
    </row>
    <row r="57" spans="2:15" x14ac:dyDescent="0.35">
      <c r="C57" s="21"/>
      <c r="D57" s="21"/>
      <c r="E57" s="21"/>
      <c r="F57" s="21"/>
      <c r="G57" s="21"/>
      <c r="H57" s="21"/>
      <c r="L57" s="21"/>
      <c r="M57" s="21"/>
      <c r="N57" s="21"/>
    </row>
    <row r="58" spans="2:15" x14ac:dyDescent="0.35">
      <c r="C58" s="22"/>
      <c r="D58" s="22"/>
      <c r="E58" s="22"/>
      <c r="F58" s="22"/>
      <c r="G58" s="22"/>
      <c r="H58" s="22"/>
      <c r="L58" s="22"/>
      <c r="M58" s="22"/>
      <c r="N58" s="22"/>
    </row>
    <row r="59" spans="2:15" x14ac:dyDescent="0.35">
      <c r="E59" s="34"/>
      <c r="G59" s="18"/>
      <c r="H59" s="18"/>
    </row>
    <row r="60" spans="2:15" x14ac:dyDescent="0.35">
      <c r="E60" s="34"/>
    </row>
    <row r="61" spans="2:15" x14ac:dyDescent="0.35">
      <c r="E61" s="34"/>
      <c r="F61" s="18"/>
      <c r="G61" s="18"/>
      <c r="H61" s="18"/>
    </row>
    <row r="62" spans="2:15" x14ac:dyDescent="0.35">
      <c r="E62" s="35"/>
      <c r="F62" s="26"/>
      <c r="G62" s="26"/>
      <c r="H62" s="26"/>
    </row>
    <row r="63" spans="2:15" x14ac:dyDescent="0.35">
      <c r="E63" s="34"/>
      <c r="F63" s="18"/>
      <c r="G63" s="18"/>
      <c r="H63" s="18"/>
    </row>
    <row r="64" spans="2:15" x14ac:dyDescent="0.35">
      <c r="G64" s="34"/>
    </row>
    <row r="65" spans="2:8" x14ac:dyDescent="0.35">
      <c r="G65" s="34"/>
    </row>
    <row r="67" spans="2:8" x14ac:dyDescent="0.35">
      <c r="B67" s="16"/>
    </row>
    <row r="68" spans="2:8" x14ac:dyDescent="0.35">
      <c r="E68" s="21"/>
      <c r="F68" s="21"/>
      <c r="G68" s="21"/>
      <c r="H68" s="21"/>
    </row>
    <row r="69" spans="2:8" x14ac:dyDescent="0.35">
      <c r="E69" s="21"/>
      <c r="F69" s="21"/>
      <c r="G69" s="21"/>
      <c r="H69" s="21"/>
    </row>
    <row r="70" spans="2:8" x14ac:dyDescent="0.35">
      <c r="E70" s="22"/>
      <c r="F70" s="22"/>
      <c r="G70" s="22"/>
      <c r="H70" s="22"/>
    </row>
    <row r="71" spans="2:8" x14ac:dyDescent="0.35">
      <c r="E71" s="34"/>
      <c r="G71" s="18"/>
      <c r="H71" s="18"/>
    </row>
    <row r="72" spans="2:8" x14ac:dyDescent="0.35">
      <c r="E72" s="34"/>
    </row>
    <row r="73" spans="2:8" x14ac:dyDescent="0.35">
      <c r="E73" s="34"/>
      <c r="F73" s="18"/>
      <c r="G73" s="18"/>
      <c r="H73" s="18"/>
    </row>
    <row r="74" spans="2:8" x14ac:dyDescent="0.35">
      <c r="E74" s="35"/>
      <c r="F74" s="26"/>
      <c r="G74" s="26"/>
      <c r="H74" s="26"/>
    </row>
    <row r="75" spans="2:8" x14ac:dyDescent="0.35">
      <c r="E75" s="34"/>
      <c r="F75" s="18"/>
      <c r="G75" s="18"/>
      <c r="H75" s="18"/>
    </row>
  </sheetData>
  <mergeCells count="2">
    <mergeCell ref="C14:H14"/>
    <mergeCell ref="I41:N4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85"/>
  <sheetViews>
    <sheetView showGridLines="0" zoomScale="80" zoomScaleNormal="80" workbookViewId="0">
      <pane xSplit="5" ySplit="16" topLeftCell="F17" activePane="bottomRight" state="frozen"/>
      <selection pane="topRight"/>
      <selection pane="bottomLeft"/>
      <selection pane="bottomRight" activeCell="F17" sqref="F17"/>
    </sheetView>
  </sheetViews>
  <sheetFormatPr defaultColWidth="8.81640625" defaultRowHeight="14.5" x14ac:dyDescent="0.35"/>
  <cols>
    <col min="1" max="1" width="8.81640625" style="17"/>
    <col min="2" max="2" width="41.1796875" style="17" customWidth="1"/>
    <col min="3" max="3" width="15.1796875" style="17" customWidth="1"/>
    <col min="4" max="5" width="11.54296875" style="17" bestFit="1" customWidth="1"/>
    <col min="6" max="6" width="17" style="17" customWidth="1"/>
    <col min="7" max="11" width="11.453125" style="17" customWidth="1"/>
    <col min="12" max="16384" width="8.81640625" style="17"/>
  </cols>
  <sheetData>
    <row r="2" spans="2:21" x14ac:dyDescent="0.35">
      <c r="B2" s="16" t="s">
        <v>99</v>
      </c>
      <c r="C2" s="16"/>
      <c r="D2" s="16"/>
      <c r="E2" s="16"/>
      <c r="F2" s="16"/>
      <c r="G2" s="16" t="s">
        <v>100</v>
      </c>
      <c r="H2" s="16"/>
      <c r="I2" s="16"/>
      <c r="J2" s="16"/>
      <c r="K2" s="16"/>
    </row>
    <row r="4" spans="2:21" x14ac:dyDescent="0.35">
      <c r="B4" s="17" t="s">
        <v>51</v>
      </c>
      <c r="C4" s="17" t="s">
        <v>52</v>
      </c>
      <c r="D4" s="17">
        <v>11696.85</v>
      </c>
      <c r="F4" s="36" t="s">
        <v>101</v>
      </c>
      <c r="G4" s="36" t="s">
        <v>102</v>
      </c>
      <c r="H4" s="36" t="s">
        <v>103</v>
      </c>
      <c r="I4" s="36" t="s">
        <v>104</v>
      </c>
      <c r="J4" s="36" t="s">
        <v>105</v>
      </c>
      <c r="K4" s="36" t="s">
        <v>106</v>
      </c>
      <c r="L4" s="36" t="s">
        <v>107</v>
      </c>
      <c r="M4" s="17" t="s">
        <v>108</v>
      </c>
    </row>
    <row r="5" spans="2:21" x14ac:dyDescent="0.35">
      <c r="B5" s="17" t="s">
        <v>53</v>
      </c>
      <c r="C5" s="17" t="s">
        <v>52</v>
      </c>
      <c r="D5" s="18">
        <v>12058.18</v>
      </c>
      <c r="F5" s="16" t="s">
        <v>109</v>
      </c>
      <c r="G5" s="37">
        <v>183.47</v>
      </c>
      <c r="H5" s="37">
        <v>0</v>
      </c>
      <c r="I5" s="38">
        <v>12.23</v>
      </c>
      <c r="J5" s="38">
        <v>80.23</v>
      </c>
      <c r="K5" s="38">
        <v>19.02</v>
      </c>
      <c r="L5" s="38">
        <v>0</v>
      </c>
      <c r="M5" s="39" t="s">
        <v>110</v>
      </c>
      <c r="N5" s="40"/>
      <c r="O5" s="40"/>
      <c r="P5" s="40"/>
      <c r="Q5" s="40"/>
      <c r="R5" s="40"/>
      <c r="S5" s="40"/>
      <c r="T5" s="40"/>
      <c r="U5" s="40"/>
    </row>
    <row r="6" spans="2:21" x14ac:dyDescent="0.35">
      <c r="B6" s="17" t="s">
        <v>54</v>
      </c>
      <c r="C6" s="17" t="s">
        <v>52</v>
      </c>
      <c r="D6" s="41">
        <f>D5-D4</f>
        <v>361.32999999999993</v>
      </c>
    </row>
    <row r="7" spans="2:21" x14ac:dyDescent="0.35">
      <c r="B7" s="17" t="s">
        <v>55</v>
      </c>
    </row>
    <row r="8" spans="2:21" x14ac:dyDescent="0.35">
      <c r="B8" s="17" t="s">
        <v>56</v>
      </c>
      <c r="C8" s="17" t="s">
        <v>16</v>
      </c>
      <c r="D8" s="42">
        <v>0.7</v>
      </c>
      <c r="G8" s="42">
        <v>0.7</v>
      </c>
      <c r="H8" s="42">
        <v>0.7</v>
      </c>
      <c r="I8" s="42">
        <v>0.7</v>
      </c>
      <c r="J8" s="42">
        <v>0.7</v>
      </c>
      <c r="K8" s="42">
        <v>0.7</v>
      </c>
      <c r="L8" s="42">
        <v>0.7</v>
      </c>
    </row>
    <row r="9" spans="2:21" x14ac:dyDescent="0.35">
      <c r="B9" s="17" t="s">
        <v>57</v>
      </c>
      <c r="C9" s="17" t="s">
        <v>16</v>
      </c>
      <c r="D9" s="42">
        <f>1-D8</f>
        <v>0.30000000000000004</v>
      </c>
      <c r="G9" s="42">
        <f t="shared" ref="G9:L9" si="0">1-G8</f>
        <v>0.30000000000000004</v>
      </c>
      <c r="H9" s="42">
        <f t="shared" si="0"/>
        <v>0.30000000000000004</v>
      </c>
      <c r="I9" s="42">
        <f t="shared" si="0"/>
        <v>0.30000000000000004</v>
      </c>
      <c r="J9" s="42">
        <f t="shared" si="0"/>
        <v>0.30000000000000004</v>
      </c>
      <c r="K9" s="42">
        <f t="shared" si="0"/>
        <v>0.30000000000000004</v>
      </c>
      <c r="L9" s="42">
        <f t="shared" si="0"/>
        <v>0.30000000000000004</v>
      </c>
    </row>
    <row r="10" spans="2:21" x14ac:dyDescent="0.35">
      <c r="B10" s="17" t="s">
        <v>58</v>
      </c>
      <c r="C10" s="21">
        <v>42752</v>
      </c>
    </row>
    <row r="14" spans="2:21" x14ac:dyDescent="0.35">
      <c r="C14" s="154" t="s">
        <v>111</v>
      </c>
      <c r="D14" s="154"/>
      <c r="E14" s="154"/>
    </row>
    <row r="15" spans="2:21" x14ac:dyDescent="0.35">
      <c r="C15" s="21">
        <f>C10</f>
        <v>42752</v>
      </c>
      <c r="D15" s="21">
        <f>C16+1</f>
        <v>42826</v>
      </c>
      <c r="E15" s="21">
        <f>D16+1</f>
        <v>43191</v>
      </c>
      <c r="F15" s="21">
        <f t="shared" ref="F15:K15" si="1">E16+1</f>
        <v>43556</v>
      </c>
      <c r="G15" s="21">
        <f t="shared" si="1"/>
        <v>43922</v>
      </c>
      <c r="H15" s="21">
        <f t="shared" si="1"/>
        <v>44287</v>
      </c>
      <c r="I15" s="21">
        <f t="shared" si="1"/>
        <v>44652</v>
      </c>
      <c r="J15" s="21">
        <f t="shared" si="1"/>
        <v>45017</v>
      </c>
      <c r="K15" s="21">
        <f t="shared" si="1"/>
        <v>45383</v>
      </c>
      <c r="L15" s="21"/>
      <c r="M15" s="21"/>
      <c r="N15" s="21"/>
      <c r="O15" s="21"/>
    </row>
    <row r="16" spans="2:21" x14ac:dyDescent="0.35">
      <c r="B16" s="17" t="s">
        <v>60</v>
      </c>
      <c r="C16" s="21">
        <f>IF(MONTH(C15)&gt;3,DATE(YEAR(C15)+1,3,31),DATE(YEAR(C15),3,31))</f>
        <v>42825</v>
      </c>
      <c r="D16" s="21">
        <f>DATE(YEAR(D15)+1,3,31)</f>
        <v>43190</v>
      </c>
      <c r="E16" s="21">
        <f t="shared" ref="E16:K16" si="2">DATE(YEAR(E15)+1,3,31)</f>
        <v>43555</v>
      </c>
      <c r="F16" s="21">
        <f t="shared" si="2"/>
        <v>43921</v>
      </c>
      <c r="G16" s="21">
        <f t="shared" si="2"/>
        <v>44286</v>
      </c>
      <c r="H16" s="21">
        <f t="shared" si="2"/>
        <v>44651</v>
      </c>
      <c r="I16" s="21">
        <f t="shared" si="2"/>
        <v>45016</v>
      </c>
      <c r="J16" s="21">
        <f t="shared" si="2"/>
        <v>45382</v>
      </c>
      <c r="K16" s="21">
        <f t="shared" si="2"/>
        <v>45747</v>
      </c>
      <c r="L16" s="21"/>
      <c r="M16" s="21"/>
      <c r="N16" s="21"/>
      <c r="O16" s="21"/>
    </row>
    <row r="17" spans="2:15" x14ac:dyDescent="0.35">
      <c r="B17" s="17" t="s">
        <v>61</v>
      </c>
      <c r="C17" s="22">
        <f>_xlfn.DAYS(C16,C15)+1</f>
        <v>74</v>
      </c>
      <c r="D17" s="22">
        <f t="shared" ref="D17:E17" si="3">_xlfn.DAYS(D16,D15)+1</f>
        <v>365</v>
      </c>
      <c r="E17" s="22">
        <f t="shared" si="3"/>
        <v>365</v>
      </c>
      <c r="I17" s="21"/>
      <c r="J17" s="21"/>
      <c r="K17" s="21"/>
      <c r="L17" s="21"/>
      <c r="M17" s="21"/>
      <c r="N17" s="21"/>
      <c r="O17" s="21"/>
    </row>
    <row r="18" spans="2:15" x14ac:dyDescent="0.35">
      <c r="C18" s="22"/>
      <c r="D18" s="22"/>
      <c r="E18" s="22"/>
      <c r="L18" s="21"/>
      <c r="M18" s="21"/>
      <c r="N18" s="21"/>
      <c r="O18" s="21"/>
    </row>
    <row r="19" spans="2:15" x14ac:dyDescent="0.35">
      <c r="B19" s="23" t="s">
        <v>112</v>
      </c>
      <c r="C19" s="23"/>
      <c r="D19" s="23"/>
      <c r="E19" s="43"/>
      <c r="F19" s="23"/>
      <c r="G19" s="23"/>
      <c r="H19" s="23"/>
      <c r="I19" s="23"/>
      <c r="J19" s="23"/>
    </row>
    <row r="20" spans="2:15" x14ac:dyDescent="0.35">
      <c r="B20" s="17" t="s">
        <v>113</v>
      </c>
      <c r="C20" s="22">
        <v>0</v>
      </c>
      <c r="D20" s="22">
        <f>C22</f>
        <v>361.32999999999993</v>
      </c>
      <c r="E20" s="44">
        <f t="shared" ref="E20:J20" si="4">D22</f>
        <v>544.79999999999995</v>
      </c>
      <c r="F20" s="22">
        <f t="shared" si="4"/>
        <v>544.79999999999995</v>
      </c>
      <c r="G20" s="22">
        <f t="shared" si="4"/>
        <v>557.03</v>
      </c>
      <c r="H20" s="22">
        <f t="shared" si="4"/>
        <v>637.26</v>
      </c>
      <c r="I20" s="22">
        <f t="shared" si="4"/>
        <v>656.28</v>
      </c>
      <c r="J20" s="22">
        <f t="shared" si="4"/>
        <v>656.28</v>
      </c>
      <c r="L20" s="21"/>
      <c r="M20" s="21"/>
      <c r="N20" s="21"/>
      <c r="O20" s="21"/>
    </row>
    <row r="21" spans="2:15" x14ac:dyDescent="0.35">
      <c r="B21" s="17" t="s">
        <v>114</v>
      </c>
      <c r="C21" s="45">
        <f>D6</f>
        <v>361.32999999999993</v>
      </c>
      <c r="D21" s="45">
        <f>G5</f>
        <v>183.47</v>
      </c>
      <c r="E21" s="44">
        <f>H5</f>
        <v>0</v>
      </c>
      <c r="F21" s="22">
        <f>I5</f>
        <v>12.23</v>
      </c>
      <c r="G21" s="22">
        <f t="shared" ref="G21:I21" si="5">J5</f>
        <v>80.23</v>
      </c>
      <c r="H21" s="22">
        <f t="shared" si="5"/>
        <v>19.02</v>
      </c>
      <c r="I21" s="22">
        <f t="shared" si="5"/>
        <v>0</v>
      </c>
      <c r="J21" s="22"/>
      <c r="L21" s="21"/>
      <c r="M21" s="21"/>
      <c r="N21" s="21"/>
      <c r="O21" s="21"/>
    </row>
    <row r="22" spans="2:15" x14ac:dyDescent="0.35">
      <c r="B22" s="17" t="s">
        <v>115</v>
      </c>
      <c r="C22" s="22">
        <f>C20+C21</f>
        <v>361.32999999999993</v>
      </c>
      <c r="D22" s="22">
        <f t="shared" ref="D22:J22" si="6">D20+D21</f>
        <v>544.79999999999995</v>
      </c>
      <c r="E22" s="44">
        <f t="shared" si="6"/>
        <v>544.79999999999995</v>
      </c>
      <c r="F22" s="22">
        <f t="shared" si="6"/>
        <v>557.03</v>
      </c>
      <c r="G22" s="22">
        <f t="shared" si="6"/>
        <v>637.26</v>
      </c>
      <c r="H22" s="22">
        <f t="shared" si="6"/>
        <v>656.28</v>
      </c>
      <c r="I22" s="22">
        <f t="shared" si="6"/>
        <v>656.28</v>
      </c>
      <c r="J22" s="22">
        <f t="shared" si="6"/>
        <v>656.28</v>
      </c>
      <c r="L22" s="21"/>
      <c r="M22" s="21"/>
      <c r="N22" s="21"/>
      <c r="O22" s="21"/>
    </row>
    <row r="23" spans="2:15" x14ac:dyDescent="0.35">
      <c r="C23" s="22"/>
      <c r="D23" s="22"/>
      <c r="E23" s="22"/>
      <c r="L23" s="21"/>
      <c r="M23" s="21"/>
      <c r="N23" s="21"/>
      <c r="O23" s="21"/>
    </row>
    <row r="24" spans="2:15" x14ac:dyDescent="0.35">
      <c r="C24" s="22"/>
      <c r="D24" s="22"/>
      <c r="E24" s="22"/>
      <c r="L24" s="21"/>
      <c r="M24" s="21"/>
      <c r="N24" s="21"/>
      <c r="O24" s="21"/>
    </row>
    <row r="25" spans="2:15" x14ac:dyDescent="0.35">
      <c r="B25" s="23" t="s">
        <v>62</v>
      </c>
      <c r="C25" s="23"/>
      <c r="D25" s="23"/>
      <c r="E25" s="23"/>
    </row>
    <row r="26" spans="2:15" s="48" customFormat="1" x14ac:dyDescent="0.35">
      <c r="B26" s="16" t="s">
        <v>63</v>
      </c>
      <c r="C26" s="46"/>
      <c r="D26" s="47">
        <f>C29</f>
        <v>250.99704304657527</v>
      </c>
      <c r="E26" s="47">
        <f t="shared" ref="E26" si="7">D29</f>
        <v>355.50421104657528</v>
      </c>
      <c r="F26" s="17"/>
      <c r="G26" s="17"/>
      <c r="H26" s="17"/>
      <c r="I26" s="17"/>
      <c r="J26" s="17"/>
      <c r="K26" s="17"/>
    </row>
    <row r="27" spans="2:15" x14ac:dyDescent="0.35">
      <c r="B27" s="17" t="s">
        <v>116</v>
      </c>
      <c r="C27" s="18">
        <f>D8*$D$6</f>
        <v>252.93099999999993</v>
      </c>
      <c r="D27" s="18">
        <f>G5*$G8</f>
        <v>128.429</v>
      </c>
      <c r="E27" s="18">
        <f>H5*$H8</f>
        <v>0</v>
      </c>
    </row>
    <row r="28" spans="2:15" x14ac:dyDescent="0.35">
      <c r="B28" s="17" t="s">
        <v>64</v>
      </c>
      <c r="C28" s="18">
        <f>C44</f>
        <v>1.9339569534246572</v>
      </c>
      <c r="D28" s="18">
        <f>D44</f>
        <v>23.921831999999998</v>
      </c>
      <c r="E28" s="18">
        <f>E44</f>
        <v>28.765439999999998</v>
      </c>
    </row>
    <row r="29" spans="2:15" x14ac:dyDescent="0.35">
      <c r="B29" s="16" t="s">
        <v>65</v>
      </c>
      <c r="C29" s="19">
        <f>C26+C27-C28</f>
        <v>250.99704304657527</v>
      </c>
      <c r="D29" s="19">
        <f t="shared" ref="D29:E29" si="8">D26+D27-D28</f>
        <v>355.50421104657528</v>
      </c>
      <c r="E29" s="19">
        <f t="shared" si="8"/>
        <v>326.73877104657527</v>
      </c>
    </row>
    <row r="30" spans="2:15" x14ac:dyDescent="0.35">
      <c r="B30" s="17" t="s">
        <v>66</v>
      </c>
      <c r="C30" s="18">
        <f>AVERAGE(C27,C29)</f>
        <v>251.96402152328761</v>
      </c>
      <c r="D30" s="18">
        <f>AVERAGE(D27,D29)</f>
        <v>241.96660552328763</v>
      </c>
      <c r="E30" s="18">
        <f t="shared" ref="E30" si="9">AVERAGE(E27,E29)</f>
        <v>163.36938552328763</v>
      </c>
    </row>
    <row r="31" spans="2:15" x14ac:dyDescent="0.35">
      <c r="B31" s="17" t="s">
        <v>67</v>
      </c>
      <c r="C31" s="27">
        <v>0.11630884926246314</v>
      </c>
      <c r="D31" s="24">
        <v>0.10555683479426466</v>
      </c>
      <c r="E31" s="24">
        <v>9.7988334036270969E-2</v>
      </c>
    </row>
    <row r="32" spans="2:15" x14ac:dyDescent="0.35">
      <c r="B32" s="17" t="s">
        <v>62</v>
      </c>
      <c r="C32" s="18">
        <f>C31*C30/365*C17</f>
        <v>5.9414185192323012</v>
      </c>
      <c r="D32" s="18">
        <f>D31*D30</f>
        <v>25.541229004950679</v>
      </c>
      <c r="E32" s="18">
        <f t="shared" ref="E32" si="10">E31*E30</f>
        <v>16.008293919956238</v>
      </c>
      <c r="I32" s="18"/>
      <c r="J32" s="18"/>
    </row>
    <row r="34" spans="2:14" x14ac:dyDescent="0.35">
      <c r="B34" s="23" t="s">
        <v>25</v>
      </c>
      <c r="C34" s="23"/>
      <c r="D34" s="23"/>
      <c r="E34" s="23"/>
    </row>
    <row r="35" spans="2:14" x14ac:dyDescent="0.35">
      <c r="B35" s="17" t="s">
        <v>68</v>
      </c>
      <c r="C35" s="18">
        <v>0</v>
      </c>
      <c r="D35" s="18">
        <f>C37</f>
        <v>108.399</v>
      </c>
      <c r="E35" s="18">
        <f>D37</f>
        <v>163.44</v>
      </c>
    </row>
    <row r="36" spans="2:14" x14ac:dyDescent="0.35">
      <c r="B36" s="17" t="s">
        <v>114</v>
      </c>
      <c r="C36" s="18">
        <f>D$9*$D$6</f>
        <v>108.399</v>
      </c>
      <c r="D36" s="18">
        <f>G$9*$G$5</f>
        <v>55.041000000000011</v>
      </c>
      <c r="E36" s="18">
        <f>H$9*$H$5</f>
        <v>0</v>
      </c>
    </row>
    <row r="37" spans="2:14" x14ac:dyDescent="0.35">
      <c r="B37" s="17" t="s">
        <v>117</v>
      </c>
      <c r="C37" s="18">
        <f>C35+C36</f>
        <v>108.399</v>
      </c>
      <c r="D37" s="18">
        <f t="shared" ref="D37:E37" si="11">D35+D36</f>
        <v>163.44</v>
      </c>
      <c r="E37" s="18">
        <f t="shared" si="11"/>
        <v>163.44</v>
      </c>
    </row>
    <row r="38" spans="2:14" x14ac:dyDescent="0.35">
      <c r="B38" s="17" t="s">
        <v>69</v>
      </c>
      <c r="C38" s="25">
        <v>7.4999999999999997E-2</v>
      </c>
      <c r="D38" s="24">
        <v>7.4999999999999997E-2</v>
      </c>
      <c r="E38" s="25">
        <v>0.155</v>
      </c>
    </row>
    <row r="39" spans="2:14" x14ac:dyDescent="0.35">
      <c r="B39" s="17" t="s">
        <v>70</v>
      </c>
      <c r="C39" s="18">
        <f>AVERAGE(C35,C37)*C38*C17/365</f>
        <v>0.82412938356164389</v>
      </c>
      <c r="D39" s="18">
        <f t="shared" ref="D39:E39" si="12">AVERAGE(D35,D37)*D38*D17/365</f>
        <v>10.1939625</v>
      </c>
      <c r="E39" s="18">
        <f t="shared" si="12"/>
        <v>25.333199999999994</v>
      </c>
    </row>
    <row r="41" spans="2:14" x14ac:dyDescent="0.35">
      <c r="B41" s="23" t="s">
        <v>71</v>
      </c>
      <c r="C41" s="23"/>
      <c r="D41" s="23"/>
      <c r="E41" s="23"/>
    </row>
    <row r="42" spans="2:14" x14ac:dyDescent="0.35">
      <c r="B42" s="17" t="s">
        <v>118</v>
      </c>
      <c r="C42" s="18">
        <f>AVERAGE(C20,C22)</f>
        <v>180.66499999999996</v>
      </c>
      <c r="D42" s="18">
        <f t="shared" ref="D42:E42" si="13">AVERAGE(D20,D22)</f>
        <v>453.06499999999994</v>
      </c>
      <c r="E42" s="18">
        <f t="shared" si="13"/>
        <v>544.79999999999995</v>
      </c>
    </row>
    <row r="43" spans="2:14" x14ac:dyDescent="0.35">
      <c r="B43" s="17" t="s">
        <v>73</v>
      </c>
      <c r="C43" s="26">
        <v>5.28E-2</v>
      </c>
      <c r="D43" s="26">
        <v>5.28E-2</v>
      </c>
      <c r="E43" s="26">
        <v>5.28E-2</v>
      </c>
    </row>
    <row r="44" spans="2:14" x14ac:dyDescent="0.35">
      <c r="B44" s="17" t="s">
        <v>71</v>
      </c>
      <c r="C44" s="18">
        <f>C42*C43/365*C17</f>
        <v>1.9339569534246572</v>
      </c>
      <c r="D44" s="18">
        <f>D42*D43/365*D17</f>
        <v>23.921831999999998</v>
      </c>
      <c r="E44" s="18">
        <f>E42*E43/365*E17</f>
        <v>28.765439999999998</v>
      </c>
    </row>
    <row r="46" spans="2:14" x14ac:dyDescent="0.35">
      <c r="B46" s="23" t="s">
        <v>74</v>
      </c>
      <c r="C46" s="23"/>
      <c r="D46" s="23"/>
      <c r="E46" s="23"/>
    </row>
    <row r="47" spans="2:14" x14ac:dyDescent="0.35">
      <c r="B47" s="17" t="s">
        <v>75</v>
      </c>
      <c r="C47" s="18">
        <f ca="1">SUM(C32,C39,C44,C49)*2/12</f>
        <v>1.476469315900715</v>
      </c>
      <c r="D47" s="18">
        <f ca="1">SUM(D32,D39,D44,D49)*2/12</f>
        <v>10.114788658011305</v>
      </c>
      <c r="E47" s="18">
        <f ca="1">SUM(E32,E39,E44,E49)*2/12</f>
        <v>11.871464553375029</v>
      </c>
    </row>
    <row r="48" spans="2:14" x14ac:dyDescent="0.35">
      <c r="B48" s="17" t="s">
        <v>76</v>
      </c>
      <c r="C48" s="25">
        <v>0.1079</v>
      </c>
      <c r="D48" s="24">
        <v>0.10199999999999999</v>
      </c>
      <c r="E48" s="25">
        <v>9.4500000000000001E-2</v>
      </c>
      <c r="F48" s="26">
        <v>9.6572404371584694E-2</v>
      </c>
      <c r="G48" s="26">
        <v>8.5699999999999998E-2</v>
      </c>
      <c r="H48" s="26">
        <v>8.5000000000000006E-2</v>
      </c>
      <c r="I48" s="26">
        <v>9.4500000000000001E-2</v>
      </c>
      <c r="J48" s="26">
        <f>I48</f>
        <v>9.4500000000000001E-2</v>
      </c>
      <c r="N48" s="26"/>
    </row>
    <row r="49" spans="2:10" x14ac:dyDescent="0.35">
      <c r="B49" s="17" t="s">
        <v>77</v>
      </c>
      <c r="C49" s="18">
        <f ca="1">C47*C48</f>
        <v>0.15931103918568715</v>
      </c>
      <c r="D49" s="18">
        <f t="shared" ref="D49:E49" ca="1" si="14">D47*D48</f>
        <v>1.031708443117153</v>
      </c>
      <c r="E49" s="18">
        <f t="shared" ca="1" si="14"/>
        <v>1.1218534002939402</v>
      </c>
    </row>
    <row r="50" spans="2:10" x14ac:dyDescent="0.35">
      <c r="C50" s="18"/>
      <c r="D50" s="18"/>
      <c r="E50" s="18"/>
    </row>
    <row r="51" spans="2:10" x14ac:dyDescent="0.35">
      <c r="B51" s="28" t="s">
        <v>78</v>
      </c>
      <c r="C51" s="29">
        <f ca="1">SUM(C32,C39,C44,C49)</f>
        <v>8.8588158954042893</v>
      </c>
      <c r="D51" s="29">
        <f ca="1">SUM(D32,D39,D44,D49)</f>
        <v>60.688731948067826</v>
      </c>
      <c r="E51" s="29">
        <f ca="1">SUM(E32,E39,E44,E49)</f>
        <v>71.228787320250177</v>
      </c>
    </row>
    <row r="53" spans="2:10" x14ac:dyDescent="0.35">
      <c r="B53" s="17" t="s">
        <v>80</v>
      </c>
      <c r="C53" s="30">
        <v>0.85</v>
      </c>
      <c r="D53" s="30">
        <v>0.85</v>
      </c>
      <c r="E53" s="30">
        <v>0.85</v>
      </c>
    </row>
    <row r="54" spans="2:10" x14ac:dyDescent="0.35">
      <c r="B54" s="17" t="s">
        <v>81</v>
      </c>
      <c r="C54" s="24">
        <v>0.58630000000000004</v>
      </c>
      <c r="D54" s="24">
        <v>0.53979999999999995</v>
      </c>
      <c r="E54" s="24">
        <v>0.4667</v>
      </c>
    </row>
    <row r="55" spans="2:10" x14ac:dyDescent="0.35">
      <c r="B55" s="17" t="s">
        <v>82</v>
      </c>
      <c r="C55" s="18">
        <f t="shared" ref="C55:E55" ca="1" si="15">C51/C53*IF(C54&gt;85%,85%,C54)</f>
        <v>6.110498540559453</v>
      </c>
      <c r="D55" s="18">
        <f t="shared" ca="1" si="15"/>
        <v>38.540914712431778</v>
      </c>
      <c r="E55" s="18">
        <f t="shared" ca="1" si="15"/>
        <v>39.108794167483246</v>
      </c>
    </row>
    <row r="57" spans="2:10" x14ac:dyDescent="0.35">
      <c r="B57" s="49" t="s">
        <v>83</v>
      </c>
      <c r="C57" s="49" t="s">
        <v>87</v>
      </c>
      <c r="D57" s="49" t="s">
        <v>88</v>
      </c>
      <c r="E57" s="49" t="s">
        <v>89</v>
      </c>
      <c r="F57" s="49" t="s">
        <v>90</v>
      </c>
      <c r="G57" s="49" t="s">
        <v>91</v>
      </c>
      <c r="H57" s="49" t="s">
        <v>92</v>
      </c>
      <c r="I57" s="49" t="s">
        <v>93</v>
      </c>
      <c r="J57" s="49" t="s">
        <v>94</v>
      </c>
    </row>
    <row r="58" spans="2:10" x14ac:dyDescent="0.35">
      <c r="B58" s="50" t="s">
        <v>95</v>
      </c>
      <c r="C58" s="50">
        <v>0</v>
      </c>
      <c r="D58" s="51">
        <f ca="1">C60</f>
        <v>6.110498540559453</v>
      </c>
      <c r="E58" s="51">
        <f t="shared" ref="E58:J58" ca="1" si="16">D60</f>
        <v>44.651413252991233</v>
      </c>
      <c r="F58" s="51">
        <f t="shared" ca="1" si="16"/>
        <v>83.760207420474472</v>
      </c>
      <c r="G58" s="51">
        <f t="shared" ca="1" si="16"/>
        <v>83.760207420474472</v>
      </c>
      <c r="H58" s="51">
        <f t="shared" ca="1" si="16"/>
        <v>83.760207420474472</v>
      </c>
      <c r="I58" s="51">
        <f t="shared" ca="1" si="16"/>
        <v>83.760207420474472</v>
      </c>
      <c r="J58" s="51">
        <f t="shared" ca="1" si="16"/>
        <v>83.760207420474472</v>
      </c>
    </row>
    <row r="59" spans="2:10" x14ac:dyDescent="0.35">
      <c r="B59" s="50" t="s">
        <v>96</v>
      </c>
      <c r="C59" s="51">
        <f ca="1">C55</f>
        <v>6.110498540559453</v>
      </c>
      <c r="D59" s="51">
        <f t="shared" ref="D59:J59" ca="1" si="17">D55</f>
        <v>38.540914712431778</v>
      </c>
      <c r="E59" s="51">
        <f t="shared" ca="1" si="17"/>
        <v>39.108794167483246</v>
      </c>
      <c r="F59" s="51">
        <f t="shared" si="17"/>
        <v>0</v>
      </c>
      <c r="G59" s="51">
        <f t="shared" si="17"/>
        <v>0</v>
      </c>
      <c r="H59" s="51">
        <f t="shared" si="17"/>
        <v>0</v>
      </c>
      <c r="I59" s="51">
        <f t="shared" si="17"/>
        <v>0</v>
      </c>
      <c r="J59" s="51">
        <f t="shared" si="17"/>
        <v>0</v>
      </c>
    </row>
    <row r="60" spans="2:10" x14ac:dyDescent="0.35">
      <c r="B60" s="50" t="s">
        <v>97</v>
      </c>
      <c r="C60" s="51">
        <f ca="1">C58+C59</f>
        <v>6.110498540559453</v>
      </c>
      <c r="D60" s="51">
        <f t="shared" ref="D60:J60" ca="1" si="18">D58+D59</f>
        <v>44.651413252991233</v>
      </c>
      <c r="E60" s="51">
        <f t="shared" ca="1" si="18"/>
        <v>83.760207420474472</v>
      </c>
      <c r="F60" s="51">
        <f t="shared" ca="1" si="18"/>
        <v>83.760207420474472</v>
      </c>
      <c r="G60" s="51">
        <f t="shared" ca="1" si="18"/>
        <v>83.760207420474472</v>
      </c>
      <c r="H60" s="51">
        <f t="shared" ca="1" si="18"/>
        <v>83.760207420474472</v>
      </c>
      <c r="I60" s="51">
        <f t="shared" ca="1" si="18"/>
        <v>83.760207420474472</v>
      </c>
      <c r="J60" s="51">
        <f t="shared" ca="1" si="18"/>
        <v>83.760207420474472</v>
      </c>
    </row>
    <row r="61" spans="2:10" x14ac:dyDescent="0.35">
      <c r="B61" s="52" t="s">
        <v>83</v>
      </c>
      <c r="C61" s="53">
        <f ca="1">(C58*C48+C59/2*C48)*C17/365</f>
        <v>6.683546116020686E-2</v>
      </c>
      <c r="D61" s="53">
        <f t="shared" ref="D61:J61" ca="1" si="19">(D58*D48+D59/2*D48)</f>
        <v>2.5888575014710846</v>
      </c>
      <c r="E61" s="53">
        <f t="shared" ca="1" si="19"/>
        <v>6.067449076821255</v>
      </c>
      <c r="F61" s="53">
        <f t="shared" ca="1" si="19"/>
        <v>8.0889246212578705</v>
      </c>
      <c r="G61" s="53">
        <f t="shared" ca="1" si="19"/>
        <v>7.1782497759346624</v>
      </c>
      <c r="H61" s="53">
        <f t="shared" ca="1" si="19"/>
        <v>7.1196176307403309</v>
      </c>
      <c r="I61" s="53">
        <f t="shared" ca="1" si="19"/>
        <v>7.9153396012348374</v>
      </c>
      <c r="J61" s="53">
        <f t="shared" ca="1" si="19"/>
        <v>7.9153396012348374</v>
      </c>
    </row>
    <row r="63" spans="2:10" x14ac:dyDescent="0.35">
      <c r="B63" s="16" t="s">
        <v>119</v>
      </c>
      <c r="C63" s="19">
        <f ca="1">SUM(J60:J61)</f>
        <v>91.675547021709306</v>
      </c>
    </row>
    <row r="66" spans="2:5" x14ac:dyDescent="0.35">
      <c r="B66" s="16"/>
      <c r="C66" s="21"/>
      <c r="D66" s="21"/>
      <c r="E66" s="21"/>
    </row>
    <row r="67" spans="2:5" x14ac:dyDescent="0.35">
      <c r="C67" s="21"/>
      <c r="D67" s="21"/>
      <c r="E67" s="21"/>
    </row>
    <row r="68" spans="2:5" x14ac:dyDescent="0.35">
      <c r="C68" s="22"/>
      <c r="D68" s="22"/>
      <c r="E68" s="22"/>
    </row>
    <row r="69" spans="2:5" x14ac:dyDescent="0.35">
      <c r="E69" s="34"/>
    </row>
    <row r="70" spans="2:5" x14ac:dyDescent="0.35">
      <c r="E70" s="34"/>
    </row>
    <row r="71" spans="2:5" x14ac:dyDescent="0.35">
      <c r="E71" s="34"/>
    </row>
    <row r="72" spans="2:5" x14ac:dyDescent="0.35">
      <c r="E72" s="35"/>
    </row>
    <row r="73" spans="2:5" x14ac:dyDescent="0.35">
      <c r="E73" s="34"/>
    </row>
    <row r="77" spans="2:5" x14ac:dyDescent="0.35">
      <c r="B77" s="16"/>
    </row>
    <row r="78" spans="2:5" x14ac:dyDescent="0.35">
      <c r="E78" s="21"/>
    </row>
    <row r="79" spans="2:5" x14ac:dyDescent="0.35">
      <c r="E79" s="21"/>
    </row>
    <row r="80" spans="2:5" x14ac:dyDescent="0.35">
      <c r="E80" s="22"/>
    </row>
    <row r="81" spans="5:5" x14ac:dyDescent="0.35">
      <c r="E81" s="34"/>
    </row>
    <row r="82" spans="5:5" x14ac:dyDescent="0.35">
      <c r="E82" s="34"/>
    </row>
    <row r="83" spans="5:5" x14ac:dyDescent="0.35">
      <c r="E83" s="34"/>
    </row>
    <row r="84" spans="5:5" x14ac:dyDescent="0.35">
      <c r="E84" s="35"/>
    </row>
    <row r="85" spans="5:5" x14ac:dyDescent="0.35">
      <c r="E85" s="34"/>
    </row>
  </sheetData>
  <mergeCells count="1">
    <mergeCell ref="C14:E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85"/>
  <sheetViews>
    <sheetView showGridLines="0" zoomScale="64" workbookViewId="0"/>
  </sheetViews>
  <sheetFormatPr defaultColWidth="8.81640625" defaultRowHeight="14.5" x14ac:dyDescent="0.35"/>
  <cols>
    <col min="1" max="1" width="8.81640625" style="17"/>
    <col min="2" max="2" width="41.1796875" style="17" customWidth="1"/>
    <col min="3" max="3" width="17.1796875" style="17" customWidth="1"/>
    <col min="4" max="4" width="15.1796875" style="17" customWidth="1"/>
    <col min="5" max="6" width="11.54296875" style="17" bestFit="1" customWidth="1"/>
    <col min="7" max="7" width="17" style="17" customWidth="1"/>
    <col min="8" max="12" width="11.453125" style="17" customWidth="1"/>
    <col min="13" max="16384" width="8.81640625" style="17"/>
  </cols>
  <sheetData>
    <row r="2" spans="2:16" x14ac:dyDescent="0.35">
      <c r="B2" s="16"/>
      <c r="C2" s="16"/>
      <c r="D2" s="16" t="s">
        <v>120</v>
      </c>
      <c r="E2" s="16"/>
      <c r="F2" s="16"/>
      <c r="G2" s="16"/>
      <c r="H2" s="16"/>
    </row>
    <row r="4" spans="2:16" x14ac:dyDescent="0.35">
      <c r="B4" s="36" t="s">
        <v>101</v>
      </c>
      <c r="C4" s="36" t="s">
        <v>121</v>
      </c>
      <c r="D4" s="36" t="s">
        <v>102</v>
      </c>
      <c r="E4" s="36" t="s">
        <v>103</v>
      </c>
      <c r="F4" s="36" t="s">
        <v>104</v>
      </c>
      <c r="G4" s="36" t="s">
        <v>105</v>
      </c>
      <c r="H4" s="36" t="s">
        <v>106</v>
      </c>
      <c r="I4" s="36" t="s">
        <v>107</v>
      </c>
      <c r="J4" s="17" t="s">
        <v>108</v>
      </c>
    </row>
    <row r="5" spans="2:16" x14ac:dyDescent="0.35">
      <c r="B5" s="16" t="s">
        <v>109</v>
      </c>
      <c r="C5" s="18">
        <v>49.09</v>
      </c>
      <c r="D5" s="54">
        <v>183.64</v>
      </c>
      <c r="E5" s="54">
        <v>13.69</v>
      </c>
      <c r="F5" s="54">
        <v>2.19</v>
      </c>
      <c r="G5" s="54">
        <v>2.58</v>
      </c>
      <c r="H5" s="54">
        <v>0.08</v>
      </c>
      <c r="I5" s="54">
        <v>0</v>
      </c>
      <c r="J5" s="55" t="s">
        <v>110</v>
      </c>
    </row>
    <row r="8" spans="2:16" x14ac:dyDescent="0.35">
      <c r="B8" s="17" t="s">
        <v>15</v>
      </c>
      <c r="C8" s="42">
        <v>0.7</v>
      </c>
      <c r="D8" s="42">
        <v>0.7</v>
      </c>
      <c r="E8" s="42">
        <v>0.7</v>
      </c>
      <c r="F8" s="42">
        <v>0.7</v>
      </c>
      <c r="G8" s="42">
        <v>0.7</v>
      </c>
      <c r="H8" s="42">
        <v>0.7</v>
      </c>
      <c r="I8" s="42">
        <v>0.7</v>
      </c>
    </row>
    <row r="9" spans="2:16" x14ac:dyDescent="0.35">
      <c r="B9" s="17" t="s">
        <v>17</v>
      </c>
      <c r="C9" s="42">
        <f t="shared" ref="C9:I9" si="0">1-C8</f>
        <v>0.30000000000000004</v>
      </c>
      <c r="D9" s="42">
        <f t="shared" si="0"/>
        <v>0.30000000000000004</v>
      </c>
      <c r="E9" s="42">
        <f t="shared" si="0"/>
        <v>0.30000000000000004</v>
      </c>
      <c r="F9" s="42">
        <f t="shared" si="0"/>
        <v>0.30000000000000004</v>
      </c>
      <c r="G9" s="42">
        <f t="shared" si="0"/>
        <v>0.30000000000000004</v>
      </c>
      <c r="H9" s="42">
        <f t="shared" si="0"/>
        <v>0.30000000000000004</v>
      </c>
      <c r="I9" s="42">
        <f t="shared" si="0"/>
        <v>0.30000000000000004</v>
      </c>
    </row>
    <row r="14" spans="2:16" x14ac:dyDescent="0.35">
      <c r="D14" s="154" t="s">
        <v>122</v>
      </c>
      <c r="E14" s="154"/>
      <c r="F14" s="154"/>
    </row>
    <row r="15" spans="2:16" x14ac:dyDescent="0.35">
      <c r="C15" s="56">
        <v>42698</v>
      </c>
      <c r="D15" s="21">
        <v>42826</v>
      </c>
      <c r="E15" s="21">
        <f>D16+1</f>
        <v>43191</v>
      </c>
      <c r="F15" s="21">
        <f t="shared" ref="F15:K15" si="1">E16+1</f>
        <v>43556</v>
      </c>
      <c r="G15" s="21">
        <f t="shared" si="1"/>
        <v>43922</v>
      </c>
      <c r="H15" s="21">
        <f t="shared" si="1"/>
        <v>44287</v>
      </c>
      <c r="I15" s="21">
        <f t="shared" si="1"/>
        <v>44652</v>
      </c>
      <c r="J15" s="21">
        <f t="shared" si="1"/>
        <v>45017</v>
      </c>
      <c r="K15" s="21">
        <f t="shared" si="1"/>
        <v>45383</v>
      </c>
      <c r="L15" s="21"/>
      <c r="M15" s="21"/>
      <c r="N15" s="21"/>
      <c r="O15" s="21"/>
      <c r="P15" s="21"/>
    </row>
    <row r="16" spans="2:16" x14ac:dyDescent="0.35">
      <c r="B16" s="17" t="s">
        <v>60</v>
      </c>
      <c r="C16" s="21">
        <f>IF(MONTH(C15)&gt;3,DATE(YEAR(C15)+1,3,31),DATE(YEAR(C15),3,31))</f>
        <v>42825</v>
      </c>
      <c r="D16" s="21">
        <f>IF(MONTH(D15)&gt;3,DATE(YEAR(D15)+1,3,31),DATE(YEAR(D15),3,31))</f>
        <v>43190</v>
      </c>
      <c r="E16" s="21">
        <f>DATE(YEAR(E15)+1,3,31)</f>
        <v>43555</v>
      </c>
      <c r="F16" s="21">
        <f t="shared" ref="F16:K16" si="2">DATE(YEAR(F15)+1,3,31)</f>
        <v>43921</v>
      </c>
      <c r="G16" s="21">
        <f t="shared" si="2"/>
        <v>44286</v>
      </c>
      <c r="H16" s="21">
        <f t="shared" si="2"/>
        <v>44651</v>
      </c>
      <c r="I16" s="21">
        <f t="shared" si="2"/>
        <v>45016</v>
      </c>
      <c r="J16" s="21">
        <f t="shared" si="2"/>
        <v>45382</v>
      </c>
      <c r="K16" s="21">
        <f t="shared" si="2"/>
        <v>45747</v>
      </c>
      <c r="L16" s="21"/>
      <c r="M16" s="21"/>
      <c r="N16" s="21"/>
      <c r="O16" s="21"/>
      <c r="P16" s="21"/>
    </row>
    <row r="17" spans="2:16" x14ac:dyDescent="0.35">
      <c r="B17" s="17" t="s">
        <v>61</v>
      </c>
      <c r="C17" s="22">
        <f>_xlfn.DAYS(C16,C15)+1</f>
        <v>128</v>
      </c>
      <c r="D17" s="22">
        <f>_xlfn.DAYS(D16,D15)+1</f>
        <v>365</v>
      </c>
      <c r="E17" s="22">
        <f t="shared" ref="E17" si="3">_xlfn.DAYS(E16,E15)+1</f>
        <v>365</v>
      </c>
      <c r="F17" s="22"/>
      <c r="J17" s="21"/>
      <c r="K17" s="21"/>
      <c r="L17" s="21"/>
      <c r="M17" s="21"/>
      <c r="N17" s="21"/>
      <c r="O17" s="21"/>
      <c r="P17" s="21"/>
    </row>
    <row r="18" spans="2:16" x14ac:dyDescent="0.35">
      <c r="D18" s="22"/>
      <c r="E18" s="22"/>
      <c r="F18" s="22"/>
      <c r="J18" s="21"/>
      <c r="K18" s="21"/>
      <c r="L18" s="21"/>
      <c r="M18" s="21"/>
      <c r="N18" s="21"/>
      <c r="O18" s="21"/>
      <c r="P18" s="21"/>
    </row>
    <row r="19" spans="2:16" x14ac:dyDescent="0.35">
      <c r="B19" s="23" t="s">
        <v>112</v>
      </c>
      <c r="C19" s="23"/>
      <c r="D19" s="23"/>
      <c r="E19" s="23"/>
      <c r="F19" s="23"/>
    </row>
    <row r="20" spans="2:16" x14ac:dyDescent="0.35">
      <c r="B20" s="17" t="s">
        <v>113</v>
      </c>
      <c r="D20" s="22">
        <f>C22</f>
        <v>49.09</v>
      </c>
      <c r="E20" s="22">
        <f>D22</f>
        <v>232.73</v>
      </c>
      <c r="F20" s="22"/>
      <c r="J20" s="21"/>
      <c r="K20" s="21"/>
      <c r="L20" s="21"/>
      <c r="M20" s="21"/>
      <c r="N20" s="21"/>
      <c r="O20" s="21"/>
      <c r="P20" s="21"/>
    </row>
    <row r="21" spans="2:16" x14ac:dyDescent="0.35">
      <c r="B21" s="17" t="s">
        <v>114</v>
      </c>
      <c r="C21" s="22">
        <f>C5</f>
        <v>49.09</v>
      </c>
      <c r="D21" s="22">
        <f>D5</f>
        <v>183.64</v>
      </c>
      <c r="E21" s="22">
        <f>E5</f>
        <v>13.69</v>
      </c>
      <c r="F21" s="22"/>
      <c r="J21" s="21"/>
      <c r="K21" s="21"/>
      <c r="L21" s="21"/>
      <c r="M21" s="21"/>
      <c r="N21" s="21"/>
      <c r="O21" s="21"/>
      <c r="P21" s="21"/>
    </row>
    <row r="22" spans="2:16" x14ac:dyDescent="0.35">
      <c r="B22" s="17" t="s">
        <v>115</v>
      </c>
      <c r="C22" s="22">
        <f>C20+C21</f>
        <v>49.09</v>
      </c>
      <c r="D22" s="22">
        <f>D20+D21</f>
        <v>232.73</v>
      </c>
      <c r="E22" s="22">
        <f t="shared" ref="E22" si="4">E20+E21</f>
        <v>246.42</v>
      </c>
      <c r="F22" s="22"/>
      <c r="J22" s="21"/>
      <c r="K22" s="21"/>
      <c r="L22" s="21"/>
      <c r="M22" s="21"/>
      <c r="N22" s="21"/>
      <c r="O22" s="21"/>
      <c r="P22" s="21"/>
    </row>
    <row r="23" spans="2:16" x14ac:dyDescent="0.35">
      <c r="D23" s="22"/>
      <c r="E23" s="22"/>
      <c r="F23" s="22"/>
      <c r="J23" s="21"/>
      <c r="K23" s="21"/>
      <c r="L23" s="21"/>
      <c r="M23" s="21"/>
      <c r="N23" s="21"/>
      <c r="O23" s="21"/>
      <c r="P23" s="21"/>
    </row>
    <row r="24" spans="2:16" x14ac:dyDescent="0.35">
      <c r="D24" s="22"/>
      <c r="E24" s="22"/>
      <c r="F24" s="22"/>
      <c r="J24" s="21"/>
      <c r="K24" s="21"/>
      <c r="L24" s="21"/>
      <c r="M24" s="21"/>
      <c r="N24" s="21"/>
      <c r="O24" s="21"/>
      <c r="P24" s="21"/>
    </row>
    <row r="25" spans="2:16" x14ac:dyDescent="0.35">
      <c r="B25" s="23" t="s">
        <v>62</v>
      </c>
      <c r="C25" s="23"/>
      <c r="D25" s="23"/>
      <c r="E25" s="23"/>
      <c r="F25" s="23"/>
    </row>
    <row r="26" spans="2:16" s="48" customFormat="1" x14ac:dyDescent="0.35">
      <c r="B26" s="17" t="s">
        <v>63</v>
      </c>
      <c r="C26" s="17"/>
      <c r="D26" s="57">
        <f>C29</f>
        <v>34.363</v>
      </c>
      <c r="E26" s="57">
        <f>D29</f>
        <v>162.91099999999997</v>
      </c>
      <c r="F26" s="57"/>
    </row>
    <row r="27" spans="2:16" x14ac:dyDescent="0.35">
      <c r="B27" s="17" t="s">
        <v>116</v>
      </c>
      <c r="C27" s="18">
        <f>C5*C8</f>
        <v>34.363</v>
      </c>
      <c r="D27" s="18">
        <f>D5*D8</f>
        <v>128.54799999999997</v>
      </c>
      <c r="E27" s="18">
        <f>E5*E8</f>
        <v>9.5829999999999984</v>
      </c>
      <c r="F27" s="18"/>
    </row>
    <row r="28" spans="2:16" x14ac:dyDescent="0.35">
      <c r="B28" s="17" t="s">
        <v>64</v>
      </c>
      <c r="C28" s="18"/>
      <c r="D28" s="18"/>
      <c r="E28" s="18">
        <f>E44</f>
        <v>12.649560000000001</v>
      </c>
      <c r="F28" s="18"/>
    </row>
    <row r="29" spans="2:16" x14ac:dyDescent="0.35">
      <c r="B29" s="17" t="s">
        <v>65</v>
      </c>
      <c r="C29" s="18">
        <f>C26+C27-C28</f>
        <v>34.363</v>
      </c>
      <c r="D29" s="18">
        <f>D26+D27-D28</f>
        <v>162.91099999999997</v>
      </c>
      <c r="E29" s="18">
        <f t="shared" ref="E29" si="5">E26+E27-E28</f>
        <v>159.84443999999996</v>
      </c>
      <c r="F29" s="18"/>
    </row>
    <row r="30" spans="2:16" x14ac:dyDescent="0.35">
      <c r="B30" s="17" t="s">
        <v>66</v>
      </c>
      <c r="C30" s="18">
        <f>AVERAGE(C27,C29)</f>
        <v>34.363</v>
      </c>
      <c r="D30" s="18">
        <f>AVERAGE(D27,D29)</f>
        <v>145.72949999999997</v>
      </c>
      <c r="E30" s="18">
        <f>AVERAGE(E27,E29)</f>
        <v>84.713719999999981</v>
      </c>
      <c r="F30" s="18"/>
    </row>
    <row r="31" spans="2:16" x14ac:dyDescent="0.35">
      <c r="B31" s="17" t="s">
        <v>67</v>
      </c>
      <c r="C31" s="26">
        <v>0.1079</v>
      </c>
      <c r="D31" s="24">
        <v>0.10153544962701726</v>
      </c>
      <c r="E31" s="24">
        <v>0.10114049360776758</v>
      </c>
      <c r="F31" s="24"/>
    </row>
    <row r="32" spans="2:16" x14ac:dyDescent="0.35">
      <c r="B32" s="17" t="s">
        <v>62</v>
      </c>
      <c r="C32" s="18">
        <f>C31*C30/365*C17</f>
        <v>1.3002582619178082</v>
      </c>
      <c r="D32" s="18">
        <f>D31*D30/365*D17</f>
        <v>14.796710306420408</v>
      </c>
      <c r="E32" s="18">
        <f>E31*E30/365*E17</f>
        <v>8.5679874561502114</v>
      </c>
      <c r="F32" s="18"/>
    </row>
    <row r="34" spans="2:15" x14ac:dyDescent="0.35">
      <c r="B34" s="23" t="s">
        <v>25</v>
      </c>
      <c r="C34" s="23"/>
      <c r="D34" s="23"/>
      <c r="E34" s="23"/>
      <c r="F34" s="23"/>
    </row>
    <row r="35" spans="2:15" x14ac:dyDescent="0.35">
      <c r="B35" s="17" t="s">
        <v>68</v>
      </c>
      <c r="D35" s="18">
        <f>C37</f>
        <v>14.727000000000004</v>
      </c>
      <c r="E35" s="18">
        <f>D37</f>
        <v>69.819000000000017</v>
      </c>
      <c r="F35" s="18"/>
    </row>
    <row r="36" spans="2:15" x14ac:dyDescent="0.35">
      <c r="B36" s="17" t="s">
        <v>114</v>
      </c>
      <c r="C36" s="18">
        <f>C$9*C$5</f>
        <v>14.727000000000004</v>
      </c>
      <c r="D36" s="18">
        <f>D$9*D$5</f>
        <v>55.092000000000006</v>
      </c>
      <c r="E36" s="18">
        <f>E$9*$E$5</f>
        <v>4.1070000000000002</v>
      </c>
      <c r="F36" s="18"/>
    </row>
    <row r="37" spans="2:15" x14ac:dyDescent="0.35">
      <c r="B37" s="17" t="s">
        <v>117</v>
      </c>
      <c r="C37" s="18">
        <f>C35+C36</f>
        <v>14.727000000000004</v>
      </c>
      <c r="D37" s="18">
        <f>D35+D36</f>
        <v>69.819000000000017</v>
      </c>
      <c r="E37" s="18">
        <f t="shared" ref="E37" si="6">E35+E36</f>
        <v>73.926000000000016</v>
      </c>
      <c r="F37" s="18"/>
    </row>
    <row r="38" spans="2:15" x14ac:dyDescent="0.35">
      <c r="B38" s="17" t="s">
        <v>69</v>
      </c>
      <c r="C38" s="26">
        <v>7.4999999999999997E-2</v>
      </c>
      <c r="D38" s="25">
        <v>7.4999999999999997E-2</v>
      </c>
      <c r="E38" s="24">
        <v>0.155</v>
      </c>
      <c r="F38" s="25"/>
    </row>
    <row r="39" spans="2:15" x14ac:dyDescent="0.35">
      <c r="B39" s="17" t="s">
        <v>70</v>
      </c>
      <c r="C39" s="18">
        <f>AVERAGE(C35,C37)*C38*C17/365</f>
        <v>0.38734027397260279</v>
      </c>
      <c r="D39" s="18">
        <f>AVERAGE(D35,D37)*D38*D17/365</f>
        <v>3.1704750000000006</v>
      </c>
      <c r="E39" s="18">
        <f>AVERAGE(E35,E37)*E38*E17/365</f>
        <v>11.140237500000003</v>
      </c>
      <c r="F39" s="18"/>
    </row>
    <row r="41" spans="2:15" x14ac:dyDescent="0.35">
      <c r="B41" s="23" t="s">
        <v>71</v>
      </c>
      <c r="C41" s="23"/>
      <c r="D41" s="23"/>
      <c r="E41" s="23"/>
      <c r="F41" s="23"/>
    </row>
    <row r="42" spans="2:15" x14ac:dyDescent="0.35">
      <c r="B42" s="17" t="s">
        <v>118</v>
      </c>
      <c r="C42" s="18">
        <f>AVERAGE(C20,C22)</f>
        <v>49.09</v>
      </c>
      <c r="D42" s="18">
        <f>AVERAGE(D20,D22)</f>
        <v>140.91</v>
      </c>
      <c r="E42" s="18">
        <f t="shared" ref="E42" si="7">AVERAGE(E20,E22)</f>
        <v>239.57499999999999</v>
      </c>
      <c r="F42" s="18"/>
      <c r="J42" s="18"/>
      <c r="K42" s="18"/>
      <c r="L42" s="18"/>
      <c r="M42" s="18"/>
    </row>
    <row r="43" spans="2:15" x14ac:dyDescent="0.35">
      <c r="B43" s="17" t="s">
        <v>73</v>
      </c>
      <c r="C43" s="26">
        <v>5.28E-2</v>
      </c>
      <c r="D43" s="26">
        <v>5.28E-2</v>
      </c>
      <c r="E43" s="26">
        <v>5.28E-2</v>
      </c>
      <c r="F43" s="26"/>
    </row>
    <row r="44" spans="2:15" x14ac:dyDescent="0.35">
      <c r="B44" s="17" t="s">
        <v>71</v>
      </c>
      <c r="C44" s="18">
        <f>C42*C43/365*C17</f>
        <v>0.90895850958904112</v>
      </c>
      <c r="D44" s="18">
        <f>D42*D43/365*D17</f>
        <v>7.440048</v>
      </c>
      <c r="E44" s="18">
        <f>E42*E43/365*E17</f>
        <v>12.649560000000001</v>
      </c>
      <c r="F44" s="18"/>
    </row>
    <row r="46" spans="2:15" x14ac:dyDescent="0.35">
      <c r="B46" s="23" t="s">
        <v>74</v>
      </c>
      <c r="C46" s="23"/>
      <c r="D46" s="23"/>
      <c r="E46" s="23"/>
      <c r="F46" s="23"/>
    </row>
    <row r="47" spans="2:15" x14ac:dyDescent="0.35">
      <c r="B47" s="17" t="s">
        <v>75</v>
      </c>
      <c r="C47" s="18">
        <f ca="1">SUM(C32,C39,C44,C49)*2/12</f>
        <v>0.44068448354227724</v>
      </c>
      <c r="D47" s="18">
        <f ca="1">SUM(D32,D39,D44,D49)*2/12</f>
        <v>4.3076249205554928</v>
      </c>
      <c r="E47" s="18">
        <f ca="1">SUM(E32,E39,E44,E49)*2/12</f>
        <v>5.4833480124299214</v>
      </c>
      <c r="F47" s="18"/>
    </row>
    <row r="48" spans="2:15" x14ac:dyDescent="0.35">
      <c r="B48" s="17" t="s">
        <v>76</v>
      </c>
      <c r="C48" s="26">
        <v>0.1079</v>
      </c>
      <c r="D48" s="26">
        <v>0.1018</v>
      </c>
      <c r="E48" s="58">
        <v>9.8900000000000002E-2</v>
      </c>
      <c r="F48" s="26">
        <v>9.6572404371584694E-2</v>
      </c>
      <c r="G48" s="26">
        <v>8.5699999999999998E-2</v>
      </c>
      <c r="H48" s="26">
        <v>8.5000000000000006E-2</v>
      </c>
      <c r="I48" s="26">
        <v>9.4500000000000001E-2</v>
      </c>
      <c r="J48" s="26">
        <f>I48</f>
        <v>9.4500000000000001E-2</v>
      </c>
      <c r="O48" s="26"/>
    </row>
    <row r="49" spans="2:13" x14ac:dyDescent="0.35">
      <c r="B49" s="17" t="s">
        <v>77</v>
      </c>
      <c r="C49" s="18">
        <f ca="1">C47*C48</f>
        <v>4.7549855774211711E-2</v>
      </c>
      <c r="D49" s="18">
        <f ca="1">D47*D48</f>
        <v>0.43851621691254916</v>
      </c>
      <c r="E49" s="18">
        <f ca="1">E47*E48</f>
        <v>0.54230311842931922</v>
      </c>
      <c r="F49" s="18"/>
    </row>
    <row r="50" spans="2:13" x14ac:dyDescent="0.35">
      <c r="D50" s="18"/>
      <c r="E50" s="18"/>
      <c r="F50" s="18"/>
    </row>
    <row r="51" spans="2:13" x14ac:dyDescent="0.35">
      <c r="B51" s="28" t="s">
        <v>78</v>
      </c>
      <c r="C51" s="29">
        <f ca="1">SUM(C32,C39,C44,C49)</f>
        <v>2.6441069012536635</v>
      </c>
      <c r="D51" s="29">
        <f ca="1">SUM(D32,D39,D44,D49)</f>
        <v>25.845749523332959</v>
      </c>
      <c r="E51" s="29">
        <f ca="1">SUM(E32,E39,E44,E49)</f>
        <v>32.900088074579529</v>
      </c>
      <c r="F51" s="29"/>
    </row>
    <row r="53" spans="2:13" x14ac:dyDescent="0.35">
      <c r="B53" s="17" t="s">
        <v>80</v>
      </c>
      <c r="C53" s="30">
        <v>0.85</v>
      </c>
      <c r="D53" s="30">
        <v>0.85</v>
      </c>
      <c r="E53" s="30">
        <v>0.85</v>
      </c>
      <c r="F53" s="30"/>
    </row>
    <row r="54" spans="2:13" x14ac:dyDescent="0.35">
      <c r="B54" s="17" t="s">
        <v>81</v>
      </c>
      <c r="C54" s="26">
        <v>0.69819999999999993</v>
      </c>
      <c r="D54" s="24">
        <v>0.76819999999999999</v>
      </c>
      <c r="E54" s="24">
        <v>0.77639999999999998</v>
      </c>
      <c r="F54" s="24"/>
    </row>
    <row r="55" spans="2:13" x14ac:dyDescent="0.35">
      <c r="B55" s="17" t="s">
        <v>82</v>
      </c>
      <c r="C55" s="18">
        <f t="shared" ref="C55:E55" ca="1" si="8">C51/C53*IF(C54&gt;85%,85%,C54)</f>
        <v>2.1719005158297735</v>
      </c>
      <c r="D55" s="18">
        <f t="shared" ca="1" si="8"/>
        <v>23.358476216263977</v>
      </c>
      <c r="E55" s="18">
        <f t="shared" ca="1" si="8"/>
        <v>30.051327507180641</v>
      </c>
      <c r="F55" s="18"/>
    </row>
    <row r="57" spans="2:13" x14ac:dyDescent="0.35">
      <c r="B57" s="23" t="s">
        <v>83</v>
      </c>
      <c r="C57" s="23"/>
      <c r="D57" s="23"/>
      <c r="E57" s="23"/>
      <c r="F57" s="23"/>
      <c r="G57" s="23"/>
      <c r="H57" s="23"/>
      <c r="I57" s="23"/>
      <c r="J57" s="23"/>
    </row>
    <row r="58" spans="2:13" x14ac:dyDescent="0.35">
      <c r="B58" s="17" t="s">
        <v>95</v>
      </c>
      <c r="D58" s="18">
        <f ca="1">C60</f>
        <v>2.1719005158297735</v>
      </c>
      <c r="E58" s="18">
        <f ca="1">D60</f>
        <v>25.53037673209375</v>
      </c>
      <c r="F58" s="18">
        <f t="shared" ref="F58:J58" ca="1" si="9">E60</f>
        <v>55.581704239274387</v>
      </c>
      <c r="G58" s="18">
        <f t="shared" ca="1" si="9"/>
        <v>55.581704239274387</v>
      </c>
      <c r="H58" s="18">
        <f t="shared" ca="1" si="9"/>
        <v>55.581704239274387</v>
      </c>
      <c r="I58" s="18">
        <f t="shared" ca="1" si="9"/>
        <v>55.581704239274387</v>
      </c>
      <c r="J58" s="18">
        <f t="shared" ca="1" si="9"/>
        <v>55.581704239274387</v>
      </c>
    </row>
    <row r="59" spans="2:13" x14ac:dyDescent="0.35">
      <c r="B59" s="17" t="s">
        <v>96</v>
      </c>
      <c r="C59" s="18">
        <f ca="1">C55</f>
        <v>2.1719005158297735</v>
      </c>
      <c r="D59" s="18">
        <f ca="1">D55</f>
        <v>23.358476216263977</v>
      </c>
      <c r="E59" s="18">
        <f t="shared" ref="E59:J59" ca="1" si="10">E55</f>
        <v>30.051327507180641</v>
      </c>
      <c r="F59" s="18">
        <f t="shared" si="10"/>
        <v>0</v>
      </c>
      <c r="G59" s="18">
        <f t="shared" si="10"/>
        <v>0</v>
      </c>
      <c r="H59" s="18">
        <f t="shared" si="10"/>
        <v>0</v>
      </c>
      <c r="I59" s="18">
        <f t="shared" si="10"/>
        <v>0</v>
      </c>
      <c r="J59" s="18">
        <f t="shared" si="10"/>
        <v>0</v>
      </c>
    </row>
    <row r="60" spans="2:13" x14ac:dyDescent="0.35">
      <c r="B60" s="17" t="s">
        <v>97</v>
      </c>
      <c r="C60" s="18">
        <f ca="1">C58+C59</f>
        <v>2.1719005158297735</v>
      </c>
      <c r="D60" s="18">
        <f ca="1">D58+D59</f>
        <v>25.53037673209375</v>
      </c>
      <c r="E60" s="18">
        <f t="shared" ref="E60:J60" ca="1" si="11">E58+E59</f>
        <v>55.581704239274387</v>
      </c>
      <c r="F60" s="18">
        <f t="shared" ca="1" si="11"/>
        <v>55.581704239274387</v>
      </c>
      <c r="G60" s="18">
        <f t="shared" ca="1" si="11"/>
        <v>55.581704239274387</v>
      </c>
      <c r="H60" s="18">
        <f t="shared" ca="1" si="11"/>
        <v>55.581704239274387</v>
      </c>
      <c r="I60" s="18">
        <f t="shared" ca="1" si="11"/>
        <v>55.581704239274387</v>
      </c>
      <c r="J60" s="18">
        <f t="shared" ca="1" si="11"/>
        <v>55.581704239274387</v>
      </c>
      <c r="L60" s="18"/>
      <c r="M60" s="18"/>
    </row>
    <row r="61" spans="2:13" x14ac:dyDescent="0.35">
      <c r="B61" s="16" t="s">
        <v>83</v>
      </c>
      <c r="C61" s="29">
        <f ca="1">(C58*C48+C59/2*C48)*C17/365</f>
        <v>4.1091167677024885E-2</v>
      </c>
      <c r="D61" s="29">
        <f ca="1">(D58*D48+D59/2*D48)*D17/365</f>
        <v>1.4100459119193076</v>
      </c>
      <c r="E61" s="29">
        <f t="shared" ref="E61:J61" ca="1" si="12">(E58*E48+E59/2*E48)</f>
        <v>4.0109924040341554</v>
      </c>
      <c r="F61" s="29">
        <f t="shared" ca="1" si="12"/>
        <v>5.3676588174570297</v>
      </c>
      <c r="G61" s="29">
        <f t="shared" ca="1" si="12"/>
        <v>4.7633520533058151</v>
      </c>
      <c r="H61" s="29">
        <f t="shared" ca="1" si="12"/>
        <v>4.7244448603383233</v>
      </c>
      <c r="I61" s="29">
        <f t="shared" ca="1" si="12"/>
        <v>5.2524710506114296</v>
      </c>
      <c r="J61" s="29">
        <f t="shared" ca="1" si="12"/>
        <v>5.2524710506114296</v>
      </c>
    </row>
    <row r="63" spans="2:13" x14ac:dyDescent="0.35">
      <c r="B63" s="16" t="s">
        <v>123</v>
      </c>
      <c r="C63" s="19">
        <f ca="1">SUM(J60:J61)</f>
        <v>60.83417528988582</v>
      </c>
    </row>
    <row r="66" spans="2:12" x14ac:dyDescent="0.35">
      <c r="B66" s="16"/>
      <c r="C66" s="16"/>
      <c r="D66" s="21"/>
      <c r="E66" s="21"/>
      <c r="F66" s="21"/>
      <c r="J66" s="21"/>
      <c r="L66" s="21"/>
    </row>
    <row r="67" spans="2:12" x14ac:dyDescent="0.35">
      <c r="D67" s="21"/>
      <c r="E67" s="21"/>
      <c r="F67" s="21"/>
      <c r="J67" s="21"/>
      <c r="L67" s="21"/>
    </row>
    <row r="68" spans="2:12" x14ac:dyDescent="0.35">
      <c r="D68" s="22"/>
      <c r="E68" s="22"/>
      <c r="F68" s="22"/>
      <c r="J68" s="22"/>
      <c r="L68" s="22"/>
    </row>
    <row r="69" spans="2:12" x14ac:dyDescent="0.35">
      <c r="F69" s="34"/>
    </row>
    <row r="70" spans="2:12" x14ac:dyDescent="0.35">
      <c r="F70" s="34"/>
    </row>
    <row r="71" spans="2:12" x14ac:dyDescent="0.35">
      <c r="F71" s="34"/>
    </row>
    <row r="72" spans="2:12" x14ac:dyDescent="0.35">
      <c r="F72" s="35"/>
    </row>
    <row r="73" spans="2:12" x14ac:dyDescent="0.35">
      <c r="F73" s="34"/>
    </row>
    <row r="77" spans="2:12" x14ac:dyDescent="0.35">
      <c r="B77" s="16"/>
      <c r="C77" s="16"/>
    </row>
    <row r="78" spans="2:12" x14ac:dyDescent="0.35">
      <c r="F78" s="21"/>
    </row>
    <row r="79" spans="2:12" x14ac:dyDescent="0.35">
      <c r="F79" s="21"/>
    </row>
    <row r="80" spans="2:12" x14ac:dyDescent="0.35">
      <c r="F80" s="22"/>
    </row>
    <row r="81" spans="6:6" x14ac:dyDescent="0.35">
      <c r="F81" s="34"/>
    </row>
    <row r="82" spans="6:6" x14ac:dyDescent="0.35">
      <c r="F82" s="34"/>
    </row>
    <row r="83" spans="6:6" x14ac:dyDescent="0.35">
      <c r="F83" s="34"/>
    </row>
    <row r="84" spans="6:6" x14ac:dyDescent="0.35">
      <c r="F84" s="35"/>
    </row>
    <row r="85" spans="6:6" x14ac:dyDescent="0.35">
      <c r="F85" s="34"/>
    </row>
  </sheetData>
  <mergeCells count="1">
    <mergeCell ref="D14:F1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85"/>
  <sheetViews>
    <sheetView showGridLines="0" zoomScale="64" workbookViewId="0"/>
  </sheetViews>
  <sheetFormatPr defaultColWidth="8.81640625" defaultRowHeight="14.5" x14ac:dyDescent="0.35"/>
  <cols>
    <col min="1" max="1" width="8.81640625" style="17"/>
    <col min="2" max="2" width="41.1796875" style="17" customWidth="1"/>
    <col min="3" max="3" width="15.1796875" style="17" customWidth="1"/>
    <col min="4" max="5" width="11.54296875" style="17" bestFit="1" customWidth="1"/>
    <col min="6" max="6" width="17" style="17" customWidth="1"/>
    <col min="7" max="11" width="11.453125" style="17" customWidth="1"/>
    <col min="12" max="16384" width="8.81640625" style="17"/>
  </cols>
  <sheetData>
    <row r="2" spans="2:15" x14ac:dyDescent="0.35">
      <c r="B2" s="16"/>
      <c r="C2" s="16" t="s">
        <v>124</v>
      </c>
      <c r="D2" s="16"/>
      <c r="E2" s="16"/>
      <c r="F2" s="16"/>
      <c r="G2" s="16"/>
    </row>
    <row r="4" spans="2:15" x14ac:dyDescent="0.35">
      <c r="B4" s="36" t="s">
        <v>101</v>
      </c>
      <c r="C4" s="36" t="s">
        <v>102</v>
      </c>
      <c r="D4" s="36" t="s">
        <v>103</v>
      </c>
      <c r="E4" s="36" t="s">
        <v>104</v>
      </c>
      <c r="F4" s="36" t="s">
        <v>105</v>
      </c>
      <c r="G4" s="36" t="s">
        <v>106</v>
      </c>
      <c r="H4" s="36" t="s">
        <v>107</v>
      </c>
      <c r="I4" s="17" t="s">
        <v>108</v>
      </c>
    </row>
    <row r="5" spans="2:15" x14ac:dyDescent="0.35">
      <c r="B5" s="16" t="s">
        <v>109</v>
      </c>
      <c r="C5" s="54">
        <v>5.17</v>
      </c>
      <c r="D5" s="54">
        <v>36.22</v>
      </c>
      <c r="E5" s="54">
        <v>0</v>
      </c>
      <c r="F5" s="54">
        <v>0</v>
      </c>
      <c r="G5" s="54">
        <v>0</v>
      </c>
      <c r="H5" s="54">
        <v>0</v>
      </c>
      <c r="I5" s="55" t="s">
        <v>110</v>
      </c>
    </row>
    <row r="8" spans="2:15" x14ac:dyDescent="0.35">
      <c r="C8" s="42">
        <v>0.7</v>
      </c>
      <c r="D8" s="42">
        <v>0.7</v>
      </c>
      <c r="E8" s="42">
        <v>0.7</v>
      </c>
      <c r="F8" s="42">
        <v>0.7</v>
      </c>
      <c r="G8" s="42">
        <v>0.7</v>
      </c>
      <c r="H8" s="42">
        <v>0.7</v>
      </c>
    </row>
    <row r="9" spans="2:15" x14ac:dyDescent="0.35">
      <c r="C9" s="42">
        <f t="shared" ref="C9:H9" si="0">1-C8</f>
        <v>0.30000000000000004</v>
      </c>
      <c r="D9" s="42">
        <f t="shared" si="0"/>
        <v>0.30000000000000004</v>
      </c>
      <c r="E9" s="42">
        <f t="shared" si="0"/>
        <v>0.30000000000000004</v>
      </c>
      <c r="F9" s="42">
        <f t="shared" si="0"/>
        <v>0.30000000000000004</v>
      </c>
      <c r="G9" s="42">
        <f t="shared" si="0"/>
        <v>0.30000000000000004</v>
      </c>
      <c r="H9" s="42">
        <f t="shared" si="0"/>
        <v>0.30000000000000004</v>
      </c>
    </row>
    <row r="14" spans="2:15" x14ac:dyDescent="0.35">
      <c r="C14" s="154" t="s">
        <v>125</v>
      </c>
      <c r="D14" s="154"/>
      <c r="E14" s="154"/>
    </row>
    <row r="15" spans="2:15" x14ac:dyDescent="0.35">
      <c r="C15" s="21">
        <v>42826</v>
      </c>
      <c r="D15" s="21">
        <f>C16+1</f>
        <v>43191</v>
      </c>
      <c r="E15" s="21">
        <f t="shared" ref="E15:I15" si="1">D16+1</f>
        <v>43556</v>
      </c>
      <c r="F15" s="21">
        <f t="shared" si="1"/>
        <v>43922</v>
      </c>
      <c r="G15" s="21">
        <f t="shared" si="1"/>
        <v>44287</v>
      </c>
      <c r="H15" s="21">
        <f t="shared" si="1"/>
        <v>44652</v>
      </c>
      <c r="I15" s="21">
        <f t="shared" si="1"/>
        <v>45017</v>
      </c>
      <c r="J15" s="21"/>
      <c r="K15" s="21"/>
      <c r="L15" s="21"/>
      <c r="M15" s="21"/>
      <c r="N15" s="21"/>
      <c r="O15" s="21"/>
    </row>
    <row r="16" spans="2:15" x14ac:dyDescent="0.35">
      <c r="B16" s="17" t="s">
        <v>60</v>
      </c>
      <c r="C16" s="21">
        <f>IF(MONTH(C15)&gt;3,DATE(YEAR(C15)+1,3,31),DATE(YEAR(C15),3,31))</f>
        <v>43190</v>
      </c>
      <c r="D16" s="21">
        <f>DATE(YEAR(D15)+1,3,31)</f>
        <v>43555</v>
      </c>
      <c r="E16" s="21">
        <f t="shared" ref="E16:I16" si="2">DATE(YEAR(E15)+1,3,31)</f>
        <v>43921</v>
      </c>
      <c r="F16" s="21">
        <f t="shared" si="2"/>
        <v>44286</v>
      </c>
      <c r="G16" s="21">
        <f t="shared" si="2"/>
        <v>44651</v>
      </c>
      <c r="H16" s="21">
        <f t="shared" si="2"/>
        <v>45016</v>
      </c>
      <c r="I16" s="21">
        <f t="shared" si="2"/>
        <v>45382</v>
      </c>
      <c r="J16" s="21"/>
      <c r="K16" s="21"/>
      <c r="L16" s="21"/>
      <c r="M16" s="21"/>
      <c r="N16" s="21"/>
      <c r="O16" s="21"/>
    </row>
    <row r="17" spans="2:15" x14ac:dyDescent="0.35">
      <c r="B17" s="17" t="s">
        <v>61</v>
      </c>
      <c r="C17" s="22">
        <f>_xlfn.DAYS(C16,C15)+1</f>
        <v>365</v>
      </c>
      <c r="D17" s="22">
        <f t="shared" ref="D17" si="3">_xlfn.DAYS(D16,D15)+1</f>
        <v>365</v>
      </c>
      <c r="E17" s="22"/>
      <c r="I17" s="21"/>
      <c r="J17" s="21"/>
      <c r="K17" s="21"/>
      <c r="L17" s="21"/>
      <c r="M17" s="21"/>
      <c r="N17" s="21"/>
      <c r="O17" s="21"/>
    </row>
    <row r="18" spans="2:15" x14ac:dyDescent="0.35">
      <c r="C18" s="22"/>
      <c r="D18" s="22"/>
      <c r="E18" s="22"/>
      <c r="I18" s="21"/>
      <c r="J18" s="21"/>
      <c r="K18" s="21"/>
      <c r="L18" s="21"/>
      <c r="M18" s="21"/>
      <c r="N18" s="21"/>
      <c r="O18" s="21"/>
    </row>
    <row r="19" spans="2:15" x14ac:dyDescent="0.35">
      <c r="B19" s="23" t="s">
        <v>112</v>
      </c>
      <c r="C19" s="23"/>
      <c r="D19" s="23"/>
      <c r="E19" s="23"/>
      <c r="F19" s="23"/>
      <c r="G19" s="23"/>
      <c r="H19" s="23"/>
      <c r="I19" s="23"/>
      <c r="J19" s="23"/>
    </row>
    <row r="20" spans="2:15" x14ac:dyDescent="0.35">
      <c r="B20" s="17" t="s">
        <v>113</v>
      </c>
      <c r="C20" s="22">
        <v>0</v>
      </c>
      <c r="D20" s="22">
        <f>C22</f>
        <v>5.17</v>
      </c>
      <c r="E20" s="22"/>
      <c r="F20" s="22"/>
      <c r="G20" s="22"/>
      <c r="H20" s="22"/>
      <c r="I20" s="22"/>
      <c r="J20" s="22"/>
      <c r="K20" s="21"/>
      <c r="L20" s="21"/>
      <c r="M20" s="21"/>
      <c r="N20" s="21"/>
      <c r="O20" s="21"/>
    </row>
    <row r="21" spans="2:15" x14ac:dyDescent="0.35">
      <c r="B21" s="17" t="s">
        <v>114</v>
      </c>
      <c r="C21" s="22">
        <f>C5</f>
        <v>5.17</v>
      </c>
      <c r="D21" s="22">
        <f>D5</f>
        <v>36.22</v>
      </c>
      <c r="E21" s="22"/>
      <c r="F21" s="22"/>
      <c r="G21" s="22"/>
      <c r="H21" s="22"/>
      <c r="I21" s="22"/>
      <c r="J21" s="22"/>
      <c r="K21" s="21"/>
      <c r="L21" s="21"/>
      <c r="M21" s="21"/>
      <c r="N21" s="21"/>
      <c r="O21" s="21"/>
    </row>
    <row r="22" spans="2:15" x14ac:dyDescent="0.35">
      <c r="B22" s="17" t="s">
        <v>115</v>
      </c>
      <c r="C22" s="22">
        <f>C20+C21</f>
        <v>5.17</v>
      </c>
      <c r="D22" s="22">
        <f t="shared" ref="D22" si="4">D20+D21</f>
        <v>41.39</v>
      </c>
      <c r="E22" s="22"/>
      <c r="F22" s="22"/>
      <c r="G22" s="22"/>
      <c r="H22" s="22"/>
      <c r="I22" s="22"/>
      <c r="J22" s="22"/>
      <c r="K22" s="21"/>
      <c r="L22" s="21"/>
      <c r="M22" s="21"/>
      <c r="N22" s="21"/>
      <c r="O22" s="21"/>
    </row>
    <row r="23" spans="2:15" x14ac:dyDescent="0.35">
      <c r="C23" s="22"/>
      <c r="D23" s="22"/>
      <c r="E23" s="22"/>
      <c r="F23" s="22"/>
      <c r="G23" s="22"/>
      <c r="H23" s="22"/>
      <c r="I23" s="22"/>
      <c r="J23" s="22"/>
      <c r="K23" s="21"/>
      <c r="L23" s="21"/>
      <c r="M23" s="21"/>
      <c r="N23" s="21"/>
      <c r="O23" s="21"/>
    </row>
    <row r="24" spans="2:15" x14ac:dyDescent="0.35">
      <c r="C24" s="22"/>
      <c r="D24" s="22"/>
      <c r="E24" s="22"/>
      <c r="F24" s="22"/>
      <c r="G24" s="22"/>
      <c r="H24" s="22"/>
      <c r="I24" s="22"/>
      <c r="J24" s="22"/>
      <c r="K24" s="21"/>
      <c r="L24" s="21"/>
      <c r="M24" s="21"/>
      <c r="N24" s="21"/>
      <c r="O24" s="21"/>
    </row>
    <row r="25" spans="2:15" x14ac:dyDescent="0.35">
      <c r="B25" s="23" t="s">
        <v>62</v>
      </c>
      <c r="C25" s="23"/>
      <c r="D25" s="23"/>
      <c r="E25" s="23"/>
      <c r="F25" s="23"/>
      <c r="G25" s="23"/>
      <c r="H25" s="23"/>
      <c r="I25" s="23"/>
      <c r="J25" s="23"/>
    </row>
    <row r="26" spans="2:15" s="48" customFormat="1" x14ac:dyDescent="0.35">
      <c r="B26" s="17" t="s">
        <v>63</v>
      </c>
      <c r="C26" s="48">
        <v>0</v>
      </c>
      <c r="D26" s="57">
        <f>C29</f>
        <v>3.6189999999999998</v>
      </c>
      <c r="E26" s="57"/>
      <c r="F26" s="57"/>
      <c r="G26" s="57"/>
      <c r="H26" s="57"/>
      <c r="I26" s="57"/>
      <c r="J26" s="57"/>
    </row>
    <row r="27" spans="2:15" x14ac:dyDescent="0.35">
      <c r="B27" s="17" t="s">
        <v>116</v>
      </c>
      <c r="C27" s="18">
        <f>C5*C8</f>
        <v>3.6189999999999998</v>
      </c>
      <c r="D27" s="18">
        <f>D5*D8</f>
        <v>25.353999999999999</v>
      </c>
      <c r="E27" s="18"/>
      <c r="F27" s="18"/>
      <c r="G27" s="18"/>
      <c r="H27" s="18"/>
      <c r="I27" s="18"/>
      <c r="J27" s="18"/>
    </row>
    <row r="28" spans="2:15" x14ac:dyDescent="0.35">
      <c r="B28" s="17" t="s">
        <v>64</v>
      </c>
      <c r="C28" s="18"/>
      <c r="D28" s="18">
        <f>D44</f>
        <v>1.2325608791208793</v>
      </c>
      <c r="E28" s="18"/>
      <c r="F28" s="18"/>
      <c r="G28" s="18"/>
      <c r="H28" s="18"/>
      <c r="I28" s="18"/>
      <c r="J28" s="18"/>
    </row>
    <row r="29" spans="2:15" x14ac:dyDescent="0.35">
      <c r="B29" s="17" t="s">
        <v>65</v>
      </c>
      <c r="C29" s="18">
        <f>C26+C27-C28</f>
        <v>3.6189999999999998</v>
      </c>
      <c r="D29" s="18">
        <f>D26+D27-D28</f>
        <v>27.74043912087912</v>
      </c>
      <c r="E29" s="18"/>
      <c r="F29" s="18"/>
      <c r="G29" s="18"/>
      <c r="H29" s="18"/>
      <c r="I29" s="18"/>
      <c r="J29" s="18"/>
    </row>
    <row r="30" spans="2:15" x14ac:dyDescent="0.35">
      <c r="B30" s="17" t="s">
        <v>66</v>
      </c>
      <c r="C30" s="18">
        <f>AVERAGE(C27,C29)</f>
        <v>3.6189999999999998</v>
      </c>
      <c r="D30" s="18">
        <f>AVERAGE(D27,D29)</f>
        <v>26.547219560439558</v>
      </c>
      <c r="E30" s="18"/>
      <c r="F30" s="18"/>
      <c r="G30" s="18"/>
      <c r="H30" s="18"/>
      <c r="I30" s="18"/>
      <c r="J30" s="18"/>
    </row>
    <row r="31" spans="2:15" x14ac:dyDescent="0.35">
      <c r="B31" s="17" t="s">
        <v>67</v>
      </c>
      <c r="C31" s="24">
        <v>0.10147221323783645</v>
      </c>
      <c r="D31" s="24">
        <v>0.10116761094758969</v>
      </c>
      <c r="E31" s="24"/>
      <c r="F31" s="24"/>
      <c r="G31" s="24"/>
      <c r="H31" s="24"/>
      <c r="I31" s="24"/>
      <c r="J31" s="24"/>
    </row>
    <row r="32" spans="2:15" x14ac:dyDescent="0.35">
      <c r="B32" s="17" t="s">
        <v>62</v>
      </c>
      <c r="C32" s="18">
        <f>C31*C30/365*C17</f>
        <v>0.36722793970773004</v>
      </c>
      <c r="D32" s="18">
        <f>D31*D30</f>
        <v>2.6857187802307925</v>
      </c>
      <c r="E32" s="18"/>
      <c r="F32" s="18"/>
      <c r="G32" s="18"/>
      <c r="H32" s="18"/>
      <c r="I32" s="18"/>
      <c r="J32" s="18"/>
    </row>
    <row r="34" spans="2:14" x14ac:dyDescent="0.35">
      <c r="B34" s="23" t="s">
        <v>25</v>
      </c>
      <c r="C34" s="23"/>
      <c r="D34" s="23"/>
      <c r="E34" s="23"/>
      <c r="F34" s="23"/>
      <c r="G34" s="23"/>
      <c r="H34" s="23"/>
      <c r="I34" s="23"/>
      <c r="J34" s="23"/>
    </row>
    <row r="35" spans="2:14" x14ac:dyDescent="0.35">
      <c r="B35" s="17" t="s">
        <v>68</v>
      </c>
      <c r="C35" s="18">
        <v>0</v>
      </c>
      <c r="D35" s="18">
        <f>C37</f>
        <v>1.5510000000000002</v>
      </c>
      <c r="E35" s="18"/>
      <c r="F35" s="18"/>
      <c r="G35" s="18"/>
      <c r="H35" s="18"/>
      <c r="I35" s="18"/>
      <c r="J35" s="18"/>
    </row>
    <row r="36" spans="2:14" x14ac:dyDescent="0.35">
      <c r="B36" s="17" t="s">
        <v>114</v>
      </c>
      <c r="C36" s="18">
        <f>C$9*$C$5</f>
        <v>1.5510000000000002</v>
      </c>
      <c r="D36" s="18">
        <f>D$9*$D$5</f>
        <v>10.866000000000001</v>
      </c>
      <c r="E36" s="18"/>
      <c r="F36" s="18"/>
      <c r="G36" s="18"/>
      <c r="H36" s="18"/>
      <c r="I36" s="18"/>
      <c r="J36" s="18"/>
    </row>
    <row r="37" spans="2:14" x14ac:dyDescent="0.35">
      <c r="B37" s="17" t="s">
        <v>117</v>
      </c>
      <c r="C37" s="18">
        <f>C35+C36</f>
        <v>1.5510000000000002</v>
      </c>
      <c r="D37" s="18">
        <f t="shared" ref="D37" si="5">D35+D36</f>
        <v>12.417000000000002</v>
      </c>
      <c r="E37" s="18"/>
      <c r="F37" s="18"/>
      <c r="G37" s="18"/>
      <c r="H37" s="18"/>
      <c r="I37" s="18"/>
      <c r="J37" s="18"/>
    </row>
    <row r="38" spans="2:14" x14ac:dyDescent="0.35">
      <c r="B38" s="17" t="s">
        <v>69</v>
      </c>
      <c r="C38" s="25">
        <v>7.4999999999999997E-2</v>
      </c>
      <c r="D38" s="24">
        <v>0.155</v>
      </c>
      <c r="E38" s="25"/>
      <c r="F38" s="25"/>
      <c r="G38" s="25"/>
      <c r="H38" s="25"/>
      <c r="I38" s="25"/>
      <c r="J38" s="25"/>
    </row>
    <row r="39" spans="2:14" x14ac:dyDescent="0.35">
      <c r="B39" s="17" t="s">
        <v>70</v>
      </c>
      <c r="C39" s="18">
        <f>AVERAGE(C35,C37)*C38*C17/365</f>
        <v>5.8162500000000006E-2</v>
      </c>
      <c r="D39" s="18">
        <f>AVERAGE(D35,D37)*D38*D17/365</f>
        <v>1.0825200000000001</v>
      </c>
      <c r="E39" s="18"/>
      <c r="F39" s="18"/>
      <c r="G39" s="18"/>
      <c r="H39" s="18"/>
      <c r="I39" s="18"/>
      <c r="J39" s="18"/>
    </row>
    <row r="41" spans="2:14" x14ac:dyDescent="0.35">
      <c r="B41" s="23" t="s">
        <v>71</v>
      </c>
      <c r="C41" s="23"/>
      <c r="D41" s="23"/>
      <c r="E41" s="23"/>
      <c r="F41" s="23"/>
      <c r="G41" s="23"/>
      <c r="H41" s="23"/>
      <c r="I41" s="23"/>
      <c r="J41" s="23"/>
    </row>
    <row r="42" spans="2:14" x14ac:dyDescent="0.35">
      <c r="B42" s="17" t="s">
        <v>118</v>
      </c>
      <c r="C42" s="18">
        <f>AVERAGE(C20,C22)</f>
        <v>2.585</v>
      </c>
      <c r="D42" s="18">
        <f t="shared" ref="D42" si="6">AVERAGE(D20,D22)</f>
        <v>23.28</v>
      </c>
      <c r="E42" s="18"/>
      <c r="F42" s="18"/>
      <c r="G42" s="18"/>
      <c r="H42" s="18"/>
      <c r="I42" s="18"/>
      <c r="J42" s="18"/>
      <c r="K42" s="18"/>
      <c r="L42" s="18"/>
    </row>
    <row r="43" spans="2:14" x14ac:dyDescent="0.35">
      <c r="B43" s="17" t="s">
        <v>73</v>
      </c>
      <c r="C43" s="26">
        <v>5.28E-2</v>
      </c>
      <c r="D43" s="26">
        <v>5.28E-2</v>
      </c>
      <c r="E43" s="26"/>
      <c r="F43" s="26"/>
      <c r="G43" s="26"/>
      <c r="H43" s="26"/>
      <c r="I43" s="26"/>
      <c r="J43" s="26"/>
    </row>
    <row r="44" spans="2:14" x14ac:dyDescent="0.35">
      <c r="B44" s="17" t="s">
        <v>71</v>
      </c>
      <c r="C44" s="18">
        <f>C42*C43/364*C17</f>
        <v>0.13686296703296702</v>
      </c>
      <c r="D44" s="18">
        <f>D42*D43/364*D17</f>
        <v>1.2325608791208793</v>
      </c>
      <c r="E44" s="18"/>
      <c r="F44" s="18"/>
      <c r="G44" s="18"/>
      <c r="H44" s="18"/>
      <c r="I44" s="18"/>
      <c r="J44" s="18"/>
    </row>
    <row r="45" spans="2:14" x14ac:dyDescent="0.35">
      <c r="J45" s="18"/>
    </row>
    <row r="46" spans="2:14" x14ac:dyDescent="0.35">
      <c r="B46" s="23" t="s">
        <v>74</v>
      </c>
      <c r="C46" s="23"/>
      <c r="D46" s="23"/>
      <c r="E46" s="23"/>
      <c r="F46" s="23"/>
      <c r="G46" s="23"/>
      <c r="H46" s="23"/>
      <c r="I46" s="23"/>
      <c r="J46" s="18"/>
    </row>
    <row r="47" spans="2:14" x14ac:dyDescent="0.35">
      <c r="B47" s="17" t="s">
        <v>75</v>
      </c>
      <c r="C47" s="18">
        <f ca="1">SUM(C32,C39,C44,C49)*2/12</f>
        <v>9.5326270174069541E-2</v>
      </c>
      <c r="D47" s="18">
        <f ca="1">SUM(D32,D39,D44,D49)*2/12</f>
        <v>0.84743516621505677</v>
      </c>
      <c r="E47" s="18"/>
      <c r="J47" s="18"/>
    </row>
    <row r="48" spans="2:14" x14ac:dyDescent="0.35">
      <c r="B48" s="17" t="s">
        <v>76</v>
      </c>
      <c r="C48" s="26">
        <v>0.1018</v>
      </c>
      <c r="D48" s="58">
        <v>9.8900000000000002E-2</v>
      </c>
      <c r="E48" s="26">
        <v>9.6572404371584694E-2</v>
      </c>
      <c r="F48" s="26">
        <v>8.5699999999999998E-2</v>
      </c>
      <c r="G48" s="26">
        <v>8.5000000000000006E-2</v>
      </c>
      <c r="H48" s="26">
        <v>9.4500000000000001E-2</v>
      </c>
      <c r="I48" s="26">
        <f>H48</f>
        <v>9.4500000000000001E-2</v>
      </c>
      <c r="J48" s="18"/>
      <c r="N48" s="26"/>
    </row>
    <row r="49" spans="2:12" x14ac:dyDescent="0.35">
      <c r="B49" s="17" t="s">
        <v>77</v>
      </c>
      <c r="C49" s="18">
        <f ca="1">C47*C48</f>
        <v>9.704214303720279E-3</v>
      </c>
      <c r="D49" s="18">
        <f ca="1">D47*D48</f>
        <v>8.3811337938669114E-2</v>
      </c>
      <c r="E49" s="18"/>
      <c r="J49" s="18"/>
    </row>
    <row r="50" spans="2:12" x14ac:dyDescent="0.35">
      <c r="C50" s="18"/>
      <c r="D50" s="18"/>
      <c r="E50" s="18"/>
      <c r="J50" s="18"/>
    </row>
    <row r="51" spans="2:12" x14ac:dyDescent="0.35">
      <c r="B51" s="28" t="s">
        <v>78</v>
      </c>
      <c r="C51" s="29">
        <f ca="1">SUM(C32,C39,C44,C49)</f>
        <v>0.57195762104441727</v>
      </c>
      <c r="D51" s="29">
        <f ca="1">SUM(D32,D39,D44,D49)</f>
        <v>5.0846109972903406</v>
      </c>
      <c r="E51" s="29"/>
      <c r="J51" s="18"/>
    </row>
    <row r="52" spans="2:12" x14ac:dyDescent="0.35">
      <c r="J52" s="18"/>
    </row>
    <row r="53" spans="2:12" x14ac:dyDescent="0.35">
      <c r="B53" s="17" t="s">
        <v>80</v>
      </c>
      <c r="C53" s="30">
        <v>0.85</v>
      </c>
      <c r="D53" s="30">
        <v>0.85</v>
      </c>
      <c r="E53" s="30"/>
      <c r="J53" s="18"/>
    </row>
    <row r="54" spans="2:12" x14ac:dyDescent="0.35">
      <c r="B54" s="17" t="s">
        <v>81</v>
      </c>
      <c r="C54" s="24">
        <v>0.57589999999999997</v>
      </c>
      <c r="D54" s="24">
        <v>0.82899999999999996</v>
      </c>
      <c r="E54" s="24"/>
      <c r="J54" s="18"/>
    </row>
    <row r="55" spans="2:12" x14ac:dyDescent="0.35">
      <c r="B55" s="17" t="s">
        <v>82</v>
      </c>
      <c r="C55" s="18">
        <f t="shared" ref="C55:D55" ca="1" si="7">C51/C53*IF(C54&gt;85%,85%,C54)</f>
        <v>0.38751811054056456</v>
      </c>
      <c r="D55" s="18">
        <f t="shared" ca="1" si="7"/>
        <v>4.958991196180814</v>
      </c>
      <c r="E55" s="18"/>
      <c r="J55" s="18"/>
    </row>
    <row r="56" spans="2:12" x14ac:dyDescent="0.35">
      <c r="J56" s="18"/>
    </row>
    <row r="57" spans="2:12" x14ac:dyDescent="0.35">
      <c r="B57" s="23" t="s">
        <v>83</v>
      </c>
      <c r="C57" s="23" t="s">
        <v>88</v>
      </c>
      <c r="D57" s="23" t="s">
        <v>89</v>
      </c>
      <c r="E57" s="23" t="s">
        <v>90</v>
      </c>
      <c r="F57" s="23" t="s">
        <v>91</v>
      </c>
      <c r="G57" s="23" t="s">
        <v>92</v>
      </c>
      <c r="H57" s="23" t="s">
        <v>93</v>
      </c>
      <c r="I57" s="23" t="s">
        <v>94</v>
      </c>
      <c r="J57" s="18"/>
    </row>
    <row r="58" spans="2:12" x14ac:dyDescent="0.35">
      <c r="B58" s="17" t="s">
        <v>95</v>
      </c>
      <c r="C58" s="17">
        <v>0</v>
      </c>
      <c r="D58" s="18">
        <f ca="1">C60</f>
        <v>0.38751811054056456</v>
      </c>
      <c r="E58" s="18">
        <f t="shared" ref="E58:I58" ca="1" si="8">D60</f>
        <v>5.3465093067213783</v>
      </c>
      <c r="F58" s="18">
        <f t="shared" ca="1" si="8"/>
        <v>5.3465093067213783</v>
      </c>
      <c r="G58" s="18">
        <f t="shared" ca="1" si="8"/>
        <v>5.3465093067213783</v>
      </c>
      <c r="H58" s="18">
        <f t="shared" ca="1" si="8"/>
        <v>5.3465093067213783</v>
      </c>
      <c r="I58" s="18">
        <f t="shared" ca="1" si="8"/>
        <v>5.3465093067213783</v>
      </c>
      <c r="J58" s="18"/>
    </row>
    <row r="59" spans="2:12" x14ac:dyDescent="0.35">
      <c r="B59" s="17" t="s">
        <v>96</v>
      </c>
      <c r="C59" s="18">
        <f ca="1">C55</f>
        <v>0.38751811054056456</v>
      </c>
      <c r="D59" s="18">
        <f t="shared" ref="D59:I59" ca="1" si="9">D55</f>
        <v>4.958991196180814</v>
      </c>
      <c r="E59" s="18">
        <f t="shared" si="9"/>
        <v>0</v>
      </c>
      <c r="F59" s="18">
        <f t="shared" si="9"/>
        <v>0</v>
      </c>
      <c r="G59" s="18">
        <f t="shared" si="9"/>
        <v>0</v>
      </c>
      <c r="H59" s="18">
        <f t="shared" si="9"/>
        <v>0</v>
      </c>
      <c r="I59" s="18">
        <f t="shared" si="9"/>
        <v>0</v>
      </c>
      <c r="J59" s="18"/>
    </row>
    <row r="60" spans="2:12" x14ac:dyDescent="0.35">
      <c r="B60" s="17" t="s">
        <v>97</v>
      </c>
      <c r="C60" s="18">
        <f ca="1">C58+C59</f>
        <v>0.38751811054056456</v>
      </c>
      <c r="D60" s="18">
        <f t="shared" ref="D60:I60" ca="1" si="10">D58+D59</f>
        <v>5.3465093067213783</v>
      </c>
      <c r="E60" s="18">
        <f t="shared" ca="1" si="10"/>
        <v>5.3465093067213783</v>
      </c>
      <c r="F60" s="18">
        <f t="shared" ca="1" si="10"/>
        <v>5.3465093067213783</v>
      </c>
      <c r="G60" s="18">
        <f t="shared" ca="1" si="10"/>
        <v>5.3465093067213783</v>
      </c>
      <c r="H60" s="18">
        <f t="shared" ca="1" si="10"/>
        <v>5.3465093067213783</v>
      </c>
      <c r="I60" s="18">
        <f t="shared" ca="1" si="10"/>
        <v>5.3465093067213783</v>
      </c>
      <c r="J60" s="18"/>
      <c r="K60" s="18"/>
      <c r="L60" s="18"/>
    </row>
    <row r="61" spans="2:12" x14ac:dyDescent="0.35">
      <c r="B61" s="29" t="s">
        <v>83</v>
      </c>
      <c r="C61" s="29">
        <f ca="1">(C58*C48+C59/2*C48)*C17/365</f>
        <v>1.9724671826514738E-2</v>
      </c>
      <c r="D61" s="29">
        <f t="shared" ref="D61:I61" ca="1" si="11">(D58*D48+D59/2*D48)</f>
        <v>0.28354765578360308</v>
      </c>
      <c r="E61" s="29">
        <f t="shared" ca="1" si="11"/>
        <v>0.5163252587451379</v>
      </c>
      <c r="F61" s="29">
        <f t="shared" ca="1" si="11"/>
        <v>0.45819584758602211</v>
      </c>
      <c r="G61" s="29">
        <f t="shared" ca="1" si="11"/>
        <v>0.45445329107131721</v>
      </c>
      <c r="H61" s="29">
        <f t="shared" ca="1" si="11"/>
        <v>0.5052451294851702</v>
      </c>
      <c r="I61" s="29">
        <f t="shared" ca="1" si="11"/>
        <v>0.5052451294851702</v>
      </c>
      <c r="J61" s="18"/>
    </row>
    <row r="62" spans="2:12" x14ac:dyDescent="0.35">
      <c r="J62" s="18"/>
    </row>
    <row r="63" spans="2:12" x14ac:dyDescent="0.35">
      <c r="B63" s="16" t="s">
        <v>123</v>
      </c>
      <c r="C63" s="19">
        <f ca="1">SUM(I60:I61)</f>
        <v>5.8517544362065488</v>
      </c>
    </row>
    <row r="66" spans="2:11" x14ac:dyDescent="0.35">
      <c r="B66" s="16"/>
      <c r="C66" s="21"/>
      <c r="D66" s="21"/>
      <c r="E66" s="21"/>
      <c r="I66" s="21"/>
      <c r="J66" s="21"/>
      <c r="K66" s="21"/>
    </row>
    <row r="67" spans="2:11" x14ac:dyDescent="0.35">
      <c r="C67" s="21"/>
      <c r="D67" s="21"/>
      <c r="E67" s="21"/>
      <c r="I67" s="21"/>
      <c r="J67" s="21"/>
      <c r="K67" s="21"/>
    </row>
    <row r="68" spans="2:11" x14ac:dyDescent="0.35">
      <c r="C68" s="22"/>
      <c r="D68" s="22"/>
      <c r="E68" s="22"/>
      <c r="I68" s="22"/>
      <c r="J68" s="22"/>
      <c r="K68" s="22"/>
    </row>
    <row r="69" spans="2:11" x14ac:dyDescent="0.35">
      <c r="E69" s="34"/>
    </row>
    <row r="70" spans="2:11" x14ac:dyDescent="0.35">
      <c r="E70" s="34"/>
    </row>
    <row r="71" spans="2:11" x14ac:dyDescent="0.35">
      <c r="E71" s="34"/>
    </row>
    <row r="72" spans="2:11" x14ac:dyDescent="0.35">
      <c r="E72" s="35"/>
    </row>
    <row r="73" spans="2:11" x14ac:dyDescent="0.35">
      <c r="E73" s="34"/>
    </row>
    <row r="77" spans="2:11" x14ac:dyDescent="0.35">
      <c r="B77" s="16"/>
    </row>
    <row r="78" spans="2:11" x14ac:dyDescent="0.35">
      <c r="E78" s="21"/>
    </row>
    <row r="79" spans="2:11" x14ac:dyDescent="0.35">
      <c r="E79" s="21"/>
    </row>
    <row r="80" spans="2:11" x14ac:dyDescent="0.35">
      <c r="E80" s="22"/>
    </row>
    <row r="81" spans="5:5" x14ac:dyDescent="0.35">
      <c r="E81" s="34"/>
    </row>
    <row r="82" spans="5:5" x14ac:dyDescent="0.35">
      <c r="E82" s="34"/>
    </row>
    <row r="83" spans="5:5" x14ac:dyDescent="0.35">
      <c r="E83" s="34"/>
    </row>
    <row r="84" spans="5:5" x14ac:dyDescent="0.35">
      <c r="E84" s="35"/>
    </row>
    <row r="85" spans="5:5" x14ac:dyDescent="0.35">
      <c r="E85" s="34"/>
    </row>
  </sheetData>
  <mergeCells count="1">
    <mergeCell ref="C14:E1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2:AX311"/>
  <sheetViews>
    <sheetView showGridLines="0" zoomScale="80" zoomScaleNormal="80" workbookViewId="0">
      <pane xSplit="2" ySplit="5" topLeftCell="C176" activePane="bottomRight" state="frozen"/>
      <selection pane="topRight"/>
      <selection pane="bottomLeft"/>
      <selection pane="bottomRight" activeCell="D178" sqref="D178"/>
    </sheetView>
  </sheetViews>
  <sheetFormatPr defaultColWidth="9.1796875" defaultRowHeight="15.5" x14ac:dyDescent="0.35"/>
  <cols>
    <col min="1" max="1" width="9.1796875" style="5"/>
    <col min="2" max="2" width="32.26953125" style="5" customWidth="1"/>
    <col min="3" max="10" width="11.81640625" style="59" customWidth="1"/>
    <col min="11" max="18" width="11.81640625" style="60" customWidth="1"/>
    <col min="19" max="26" width="11.81640625" style="61" customWidth="1"/>
    <col min="27" max="34" width="11.81640625" style="62" customWidth="1"/>
    <col min="35" max="42" width="11.81640625" style="63" customWidth="1"/>
    <col min="43" max="50" width="11.81640625" style="64" customWidth="1"/>
    <col min="51" max="16384" width="9.1796875" style="5"/>
  </cols>
  <sheetData>
    <row r="2" spans="2:50" x14ac:dyDescent="0.35">
      <c r="B2" s="3" t="s">
        <v>126</v>
      </c>
    </row>
    <row r="3" spans="2:50" x14ac:dyDescent="0.35">
      <c r="B3" s="156" t="s">
        <v>9</v>
      </c>
      <c r="C3" s="159" t="s">
        <v>31</v>
      </c>
      <c r="D3" s="160"/>
      <c r="E3" s="160"/>
      <c r="F3" s="160"/>
      <c r="G3" s="160"/>
      <c r="H3" s="160"/>
      <c r="I3" s="160"/>
      <c r="J3" s="161"/>
      <c r="K3" s="152" t="s">
        <v>32</v>
      </c>
      <c r="L3" s="162"/>
      <c r="M3" s="162"/>
      <c r="N3" s="162"/>
      <c r="O3" s="162"/>
      <c r="P3" s="162"/>
      <c r="Q3" s="162"/>
      <c r="R3" s="153"/>
      <c r="S3" s="163" t="s">
        <v>33</v>
      </c>
      <c r="T3" s="164"/>
      <c r="U3" s="164"/>
      <c r="V3" s="164"/>
      <c r="W3" s="164"/>
      <c r="X3" s="164"/>
      <c r="Y3" s="164"/>
      <c r="Z3" s="165"/>
      <c r="AA3" s="166" t="s">
        <v>34</v>
      </c>
      <c r="AB3" s="167"/>
      <c r="AC3" s="167"/>
      <c r="AD3" s="167"/>
      <c r="AE3" s="167"/>
      <c r="AF3" s="167"/>
      <c r="AG3" s="167"/>
      <c r="AH3" s="168"/>
      <c r="AI3" s="180" t="s">
        <v>35</v>
      </c>
      <c r="AJ3" s="181"/>
      <c r="AK3" s="181"/>
      <c r="AL3" s="181"/>
      <c r="AM3" s="181"/>
      <c r="AN3" s="181"/>
      <c r="AO3" s="181"/>
      <c r="AP3" s="182"/>
      <c r="AQ3" s="173" t="s">
        <v>127</v>
      </c>
      <c r="AR3" s="174"/>
      <c r="AS3" s="174"/>
      <c r="AT3" s="174"/>
      <c r="AU3" s="174"/>
      <c r="AV3" s="174"/>
      <c r="AW3" s="174"/>
      <c r="AX3" s="175"/>
    </row>
    <row r="4" spans="2:50" x14ac:dyDescent="0.35">
      <c r="B4" s="157"/>
      <c r="C4" s="176" t="s">
        <v>128</v>
      </c>
      <c r="D4" s="177"/>
      <c r="E4" s="176" t="s">
        <v>114</v>
      </c>
      <c r="F4" s="177"/>
      <c r="G4" s="176" t="s">
        <v>129</v>
      </c>
      <c r="H4" s="177"/>
      <c r="I4" s="176" t="s">
        <v>130</v>
      </c>
      <c r="J4" s="177"/>
      <c r="K4" s="178" t="s">
        <v>128</v>
      </c>
      <c r="L4" s="179"/>
      <c r="M4" s="178" t="s">
        <v>114</v>
      </c>
      <c r="N4" s="179"/>
      <c r="O4" s="178" t="s">
        <v>129</v>
      </c>
      <c r="P4" s="179"/>
      <c r="Q4" s="178" t="s">
        <v>130</v>
      </c>
      <c r="R4" s="179"/>
      <c r="S4" s="169" t="s">
        <v>128</v>
      </c>
      <c r="T4" s="170"/>
      <c r="U4" s="169" t="s">
        <v>114</v>
      </c>
      <c r="V4" s="170"/>
      <c r="W4" s="169" t="s">
        <v>129</v>
      </c>
      <c r="X4" s="170"/>
      <c r="Y4" s="169" t="s">
        <v>130</v>
      </c>
      <c r="Z4" s="170"/>
      <c r="AA4" s="171" t="s">
        <v>128</v>
      </c>
      <c r="AB4" s="172"/>
      <c r="AC4" s="171" t="s">
        <v>114</v>
      </c>
      <c r="AD4" s="172"/>
      <c r="AE4" s="171" t="s">
        <v>129</v>
      </c>
      <c r="AF4" s="172"/>
      <c r="AG4" s="171" t="s">
        <v>130</v>
      </c>
      <c r="AH4" s="172"/>
      <c r="AI4" s="183" t="s">
        <v>128</v>
      </c>
      <c r="AJ4" s="184"/>
      <c r="AK4" s="183" t="s">
        <v>114</v>
      </c>
      <c r="AL4" s="184"/>
      <c r="AM4" s="183" t="s">
        <v>129</v>
      </c>
      <c r="AN4" s="184"/>
      <c r="AO4" s="183" t="s">
        <v>130</v>
      </c>
      <c r="AP4" s="184"/>
      <c r="AQ4" s="185" t="s">
        <v>128</v>
      </c>
      <c r="AR4" s="186"/>
      <c r="AS4" s="185" t="s">
        <v>114</v>
      </c>
      <c r="AT4" s="186"/>
      <c r="AU4" s="185" t="s">
        <v>129</v>
      </c>
      <c r="AV4" s="186"/>
      <c r="AW4" s="185" t="s">
        <v>130</v>
      </c>
      <c r="AX4" s="186"/>
    </row>
    <row r="5" spans="2:50" x14ac:dyDescent="0.35">
      <c r="B5" s="158"/>
      <c r="C5" s="65" t="s">
        <v>131</v>
      </c>
      <c r="D5" s="65" t="s">
        <v>132</v>
      </c>
      <c r="E5" s="65" t="s">
        <v>131</v>
      </c>
      <c r="F5" s="65" t="s">
        <v>132</v>
      </c>
      <c r="G5" s="65" t="s">
        <v>131</v>
      </c>
      <c r="H5" s="65" t="s">
        <v>132</v>
      </c>
      <c r="I5" s="65" t="s">
        <v>131</v>
      </c>
      <c r="J5" s="65" t="s">
        <v>132</v>
      </c>
      <c r="K5" s="6" t="s">
        <v>131</v>
      </c>
      <c r="L5" s="6" t="s">
        <v>132</v>
      </c>
      <c r="M5" s="6" t="s">
        <v>131</v>
      </c>
      <c r="N5" s="6" t="s">
        <v>132</v>
      </c>
      <c r="O5" s="6" t="s">
        <v>131</v>
      </c>
      <c r="P5" s="6" t="s">
        <v>132</v>
      </c>
      <c r="Q5" s="6" t="s">
        <v>131</v>
      </c>
      <c r="R5" s="6" t="s">
        <v>132</v>
      </c>
      <c r="S5" s="66" t="s">
        <v>131</v>
      </c>
      <c r="T5" s="66" t="s">
        <v>132</v>
      </c>
      <c r="U5" s="66" t="s">
        <v>131</v>
      </c>
      <c r="V5" s="66" t="s">
        <v>132</v>
      </c>
      <c r="W5" s="66" t="s">
        <v>131</v>
      </c>
      <c r="X5" s="66" t="s">
        <v>132</v>
      </c>
      <c r="Y5" s="66" t="s">
        <v>131</v>
      </c>
      <c r="Z5" s="66" t="s">
        <v>132</v>
      </c>
      <c r="AA5" s="67" t="s">
        <v>131</v>
      </c>
      <c r="AB5" s="67" t="s">
        <v>132</v>
      </c>
      <c r="AC5" s="67" t="s">
        <v>131</v>
      </c>
      <c r="AD5" s="67" t="s">
        <v>132</v>
      </c>
      <c r="AE5" s="67" t="s">
        <v>131</v>
      </c>
      <c r="AF5" s="67" t="s">
        <v>132</v>
      </c>
      <c r="AG5" s="67" t="s">
        <v>131</v>
      </c>
      <c r="AH5" s="67" t="s">
        <v>132</v>
      </c>
      <c r="AI5" s="68" t="s">
        <v>131</v>
      </c>
      <c r="AJ5" s="68" t="s">
        <v>132</v>
      </c>
      <c r="AK5" s="68" t="s">
        <v>131</v>
      </c>
      <c r="AL5" s="68" t="s">
        <v>132</v>
      </c>
      <c r="AM5" s="68" t="s">
        <v>131</v>
      </c>
      <c r="AN5" s="68" t="s">
        <v>132</v>
      </c>
      <c r="AO5" s="68" t="s">
        <v>131</v>
      </c>
      <c r="AP5" s="68" t="s">
        <v>132</v>
      </c>
      <c r="AQ5" s="69" t="s">
        <v>131</v>
      </c>
      <c r="AR5" s="69" t="s">
        <v>132</v>
      </c>
      <c r="AS5" s="69" t="s">
        <v>131</v>
      </c>
      <c r="AT5" s="69" t="s">
        <v>132</v>
      </c>
      <c r="AU5" s="69" t="s">
        <v>131</v>
      </c>
      <c r="AV5" s="69" t="s">
        <v>132</v>
      </c>
      <c r="AW5" s="69" t="s">
        <v>131</v>
      </c>
      <c r="AX5" s="69" t="s">
        <v>132</v>
      </c>
    </row>
    <row r="6" spans="2:50" s="77" customFormat="1" x14ac:dyDescent="0.35">
      <c r="B6" s="70" t="s">
        <v>43</v>
      </c>
      <c r="C6" s="71"/>
      <c r="D6" s="71"/>
      <c r="E6" s="71"/>
      <c r="F6" s="71"/>
      <c r="G6" s="71"/>
      <c r="H6" s="71"/>
      <c r="I6" s="71"/>
      <c r="J6" s="71"/>
      <c r="K6" s="72"/>
      <c r="L6" s="72"/>
      <c r="M6" s="72"/>
      <c r="N6" s="72"/>
      <c r="O6" s="72"/>
      <c r="P6" s="72"/>
      <c r="Q6" s="72"/>
      <c r="R6" s="72"/>
      <c r="S6" s="73"/>
      <c r="T6" s="73"/>
      <c r="U6" s="73"/>
      <c r="V6" s="73"/>
      <c r="W6" s="73"/>
      <c r="X6" s="73"/>
      <c r="Y6" s="73"/>
      <c r="Z6" s="73"/>
      <c r="AA6" s="74"/>
      <c r="AB6" s="74"/>
      <c r="AC6" s="74"/>
      <c r="AD6" s="74"/>
      <c r="AE6" s="74"/>
      <c r="AF6" s="74"/>
      <c r="AG6" s="74"/>
      <c r="AH6" s="74"/>
      <c r="AI6" s="75"/>
      <c r="AJ6" s="75"/>
      <c r="AK6" s="75"/>
      <c r="AL6" s="75"/>
      <c r="AM6" s="75"/>
      <c r="AN6" s="75"/>
      <c r="AO6" s="75"/>
      <c r="AP6" s="75"/>
      <c r="AQ6" s="76"/>
      <c r="AR6" s="76"/>
      <c r="AS6" s="76"/>
      <c r="AT6" s="76"/>
      <c r="AU6" s="76"/>
      <c r="AV6" s="76"/>
      <c r="AW6" s="76"/>
      <c r="AX6" s="76"/>
    </row>
    <row r="7" spans="2:50" x14ac:dyDescent="0.35">
      <c r="B7" s="7" t="s">
        <v>133</v>
      </c>
      <c r="C7" s="78">
        <v>3.4063698999999996</v>
      </c>
      <c r="D7" s="78">
        <v>3.4063698999999996</v>
      </c>
      <c r="E7" s="78">
        <v>0</v>
      </c>
      <c r="F7" s="78">
        <f>IFERROR(E7/E$24*F$24,0)</f>
        <v>0</v>
      </c>
      <c r="G7" s="78">
        <v>0</v>
      </c>
      <c r="H7" s="78">
        <f>G7</f>
        <v>0</v>
      </c>
      <c r="I7" s="78">
        <f>C7+E7-G7</f>
        <v>3.4063698999999996</v>
      </c>
      <c r="J7" s="78">
        <f t="shared" ref="J7:J23" si="0">D7+F7-H7</f>
        <v>3.4063698999999996</v>
      </c>
      <c r="K7" s="79">
        <f>I7</f>
        <v>3.4063698999999996</v>
      </c>
      <c r="L7" s="79">
        <f t="shared" ref="L7:L23" si="1">J7</f>
        <v>3.4063698999999996</v>
      </c>
      <c r="M7" s="79">
        <v>0</v>
      </c>
      <c r="N7" s="79">
        <f>IFERROR(M7/M$24*N$24,0)</f>
        <v>0</v>
      </c>
      <c r="O7" s="79">
        <v>0</v>
      </c>
      <c r="P7" s="79">
        <f>O7</f>
        <v>0</v>
      </c>
      <c r="Q7" s="79">
        <f>K7+M7-O7</f>
        <v>3.4063698999999996</v>
      </c>
      <c r="R7" s="79">
        <f t="shared" ref="R7:R23" si="2">L7+N7-P7</f>
        <v>3.4063698999999996</v>
      </c>
      <c r="S7" s="80">
        <f>Q7</f>
        <v>3.4063698999999996</v>
      </c>
      <c r="T7" s="80">
        <f t="shared" ref="T7:T23" si="3">R7</f>
        <v>3.4063698999999996</v>
      </c>
      <c r="U7" s="80">
        <v>0</v>
      </c>
      <c r="V7" s="80">
        <f>IFERROR(U7/U$24*V$24,0)</f>
        <v>0</v>
      </c>
      <c r="W7" s="80">
        <v>0</v>
      </c>
      <c r="X7" s="80">
        <f>W7</f>
        <v>0</v>
      </c>
      <c r="Y7" s="80">
        <f>S7+U7-W7</f>
        <v>3.4063698999999996</v>
      </c>
      <c r="Z7" s="80">
        <f t="shared" ref="Z7:Z23" si="4">T7+V7-X7</f>
        <v>3.4063698999999996</v>
      </c>
      <c r="AA7" s="81">
        <f>Y7</f>
        <v>3.4063698999999996</v>
      </c>
      <c r="AB7" s="81">
        <f t="shared" ref="AB7:AB23" si="5">Z7</f>
        <v>3.4063698999999996</v>
      </c>
      <c r="AC7" s="81">
        <v>0</v>
      </c>
      <c r="AD7" s="81">
        <f>IFERROR(AC7/AC$24*AD$24,0)</f>
        <v>0</v>
      </c>
      <c r="AE7" s="81">
        <v>0</v>
      </c>
      <c r="AF7" s="81">
        <f>AE7</f>
        <v>0</v>
      </c>
      <c r="AG7" s="81">
        <f>AA7+AC7-AE7</f>
        <v>3.4063698999999996</v>
      </c>
      <c r="AH7" s="81">
        <f t="shared" ref="AH7:AH23" si="6">AB7+AD7-AF7</f>
        <v>3.4063698999999996</v>
      </c>
      <c r="AI7" s="82">
        <f>AG7</f>
        <v>3.4063698999999996</v>
      </c>
      <c r="AJ7" s="82">
        <f t="shared" ref="AJ7:AJ23" si="7">AH7</f>
        <v>3.4063698999999996</v>
      </c>
      <c r="AK7" s="82">
        <v>0</v>
      </c>
      <c r="AL7" s="82">
        <f>IFERROR(AK7/AK$24*AL$24,0)</f>
        <v>0</v>
      </c>
      <c r="AM7" s="82">
        <v>0</v>
      </c>
      <c r="AN7" s="82">
        <f>AM7</f>
        <v>0</v>
      </c>
      <c r="AO7" s="82">
        <f>AI7+AK7-AM7</f>
        <v>3.4063698999999996</v>
      </c>
      <c r="AP7" s="82">
        <f t="shared" ref="AP7:AP23" si="8">AJ7+AL7-AN7</f>
        <v>3.4063698999999996</v>
      </c>
      <c r="AQ7" s="83">
        <f>AO7</f>
        <v>3.4063698999999996</v>
      </c>
      <c r="AR7" s="83">
        <f t="shared" ref="AR7:AR23" si="9">AP7</f>
        <v>3.4063698999999996</v>
      </c>
      <c r="AS7" s="83">
        <v>0</v>
      </c>
      <c r="AT7" s="83">
        <f>IFERROR(AS7/AS$24*AT$24,0)</f>
        <v>0</v>
      </c>
      <c r="AU7" s="83">
        <v>0</v>
      </c>
      <c r="AV7" s="83">
        <f>AU7</f>
        <v>0</v>
      </c>
      <c r="AW7" s="83">
        <f>AQ7+AS7-AU7</f>
        <v>3.4063698999999996</v>
      </c>
      <c r="AX7" s="83">
        <f t="shared" ref="AX7:AX23" si="10">AR7+AT7-AV7</f>
        <v>3.4063698999999996</v>
      </c>
    </row>
    <row r="8" spans="2:50" x14ac:dyDescent="0.35">
      <c r="B8" s="7" t="s">
        <v>134</v>
      </c>
      <c r="C8" s="78">
        <v>18.696834195890411</v>
      </c>
      <c r="D8" s="78">
        <v>18.696834195890411</v>
      </c>
      <c r="E8" s="78">
        <v>0</v>
      </c>
      <c r="F8" s="78">
        <f t="shared" ref="F8:F23" si="11">IFERROR(E8/E$24*F$24,0)</f>
        <v>0</v>
      </c>
      <c r="G8" s="78">
        <v>0</v>
      </c>
      <c r="H8" s="78">
        <f t="shared" ref="H8:H23" si="12">G8</f>
        <v>0</v>
      </c>
      <c r="I8" s="78">
        <f t="shared" ref="I8:I23" si="13">C8+E8-G8</f>
        <v>18.696834195890411</v>
      </c>
      <c r="J8" s="78">
        <f t="shared" si="0"/>
        <v>18.696834195890411</v>
      </c>
      <c r="K8" s="79">
        <f t="shared" ref="K8:K23" si="14">I8</f>
        <v>18.696834195890411</v>
      </c>
      <c r="L8" s="79">
        <f t="shared" si="1"/>
        <v>18.696834195890411</v>
      </c>
      <c r="M8" s="79">
        <v>0</v>
      </c>
      <c r="N8" s="79">
        <f t="shared" ref="N8:N23" si="15">IFERROR(M8/M$24*N$24,0)</f>
        <v>0</v>
      </c>
      <c r="O8" s="79">
        <v>0</v>
      </c>
      <c r="P8" s="79">
        <f t="shared" ref="P8:P23" si="16">O8</f>
        <v>0</v>
      </c>
      <c r="Q8" s="79">
        <f t="shared" ref="Q8:Q23" si="17">K8+M8-O8</f>
        <v>18.696834195890411</v>
      </c>
      <c r="R8" s="79">
        <f t="shared" si="2"/>
        <v>18.696834195890411</v>
      </c>
      <c r="S8" s="80">
        <f t="shared" ref="S8:S23" si="18">Q8</f>
        <v>18.696834195890411</v>
      </c>
      <c r="T8" s="80">
        <f t="shared" si="3"/>
        <v>18.696834195890411</v>
      </c>
      <c r="U8" s="80">
        <v>0</v>
      </c>
      <c r="V8" s="80">
        <f t="shared" ref="V8:V23" si="19">IFERROR(U8/U$24*V$24,0)</f>
        <v>0</v>
      </c>
      <c r="W8" s="80">
        <v>0.1511776</v>
      </c>
      <c r="X8" s="80">
        <f t="shared" ref="X8:X23" si="20">W8</f>
        <v>0.1511776</v>
      </c>
      <c r="Y8" s="80">
        <f t="shared" ref="Y8:Y23" si="21">S8+U8-W8</f>
        <v>18.54565659589041</v>
      </c>
      <c r="Z8" s="80">
        <f t="shared" si="4"/>
        <v>18.54565659589041</v>
      </c>
      <c r="AA8" s="81">
        <f t="shared" ref="AA8:AA23" si="22">Y8</f>
        <v>18.54565659589041</v>
      </c>
      <c r="AB8" s="81">
        <f t="shared" si="5"/>
        <v>18.54565659589041</v>
      </c>
      <c r="AC8" s="81">
        <v>0</v>
      </c>
      <c r="AD8" s="81">
        <f t="shared" ref="AD8:AD23" si="23">IFERROR(AC8/AC$24*AD$24,0)</f>
        <v>0</v>
      </c>
      <c r="AE8" s="81">
        <v>0</v>
      </c>
      <c r="AF8" s="81">
        <f t="shared" ref="AF8:AF23" si="24">AE8</f>
        <v>0</v>
      </c>
      <c r="AG8" s="81">
        <f t="shared" ref="AG8:AG23" si="25">AA8+AC8-AE8</f>
        <v>18.54565659589041</v>
      </c>
      <c r="AH8" s="81">
        <f t="shared" si="6"/>
        <v>18.54565659589041</v>
      </c>
      <c r="AI8" s="82">
        <f t="shared" ref="AI8:AI23" si="26">AG8</f>
        <v>18.54565659589041</v>
      </c>
      <c r="AJ8" s="82">
        <f t="shared" si="7"/>
        <v>18.54565659589041</v>
      </c>
      <c r="AK8" s="82">
        <v>0</v>
      </c>
      <c r="AL8" s="82">
        <f t="shared" ref="AL8:AL23" si="27">IFERROR(AK8/AK$24*AL$24,0)</f>
        <v>0</v>
      </c>
      <c r="AM8" s="82">
        <v>0</v>
      </c>
      <c r="AN8" s="82">
        <f t="shared" ref="AN8:AN23" si="28">AM8</f>
        <v>0</v>
      </c>
      <c r="AO8" s="82">
        <f t="shared" ref="AO8:AO23" si="29">AI8+AK8-AM8</f>
        <v>18.54565659589041</v>
      </c>
      <c r="AP8" s="82">
        <f t="shared" si="8"/>
        <v>18.54565659589041</v>
      </c>
      <c r="AQ8" s="83">
        <f t="shared" ref="AQ8:AQ23" si="30">AO8</f>
        <v>18.54565659589041</v>
      </c>
      <c r="AR8" s="83">
        <f t="shared" si="9"/>
        <v>18.54565659589041</v>
      </c>
      <c r="AS8" s="83">
        <v>0</v>
      </c>
      <c r="AT8" s="83">
        <f t="shared" ref="AT8:AT23" si="31">IFERROR(AS8/AS$24*AT$24,0)</f>
        <v>0</v>
      </c>
      <c r="AU8" s="83">
        <v>0</v>
      </c>
      <c r="AV8" s="83">
        <f t="shared" ref="AV8:AV23" si="32">AU8</f>
        <v>0</v>
      </c>
      <c r="AW8" s="83">
        <f t="shared" ref="AW8:AW23" si="33">AQ8+AS8-AU8</f>
        <v>18.54565659589041</v>
      </c>
      <c r="AX8" s="83">
        <f t="shared" si="10"/>
        <v>18.54565659589041</v>
      </c>
    </row>
    <row r="9" spans="2:50" ht="31" x14ac:dyDescent="0.35">
      <c r="B9" s="84" t="s">
        <v>135</v>
      </c>
      <c r="C9" s="78">
        <v>0</v>
      </c>
      <c r="D9" s="78">
        <v>0</v>
      </c>
      <c r="E9" s="78">
        <v>0</v>
      </c>
      <c r="F9" s="78">
        <f t="shared" si="11"/>
        <v>0</v>
      </c>
      <c r="G9" s="78">
        <v>0</v>
      </c>
      <c r="H9" s="78">
        <f t="shared" si="12"/>
        <v>0</v>
      </c>
      <c r="I9" s="78">
        <f t="shared" si="13"/>
        <v>0</v>
      </c>
      <c r="J9" s="78">
        <f t="shared" si="0"/>
        <v>0</v>
      </c>
      <c r="K9" s="79">
        <f t="shared" si="14"/>
        <v>0</v>
      </c>
      <c r="L9" s="79">
        <f t="shared" si="1"/>
        <v>0</v>
      </c>
      <c r="M9" s="79">
        <v>0</v>
      </c>
      <c r="N9" s="79">
        <f t="shared" si="15"/>
        <v>0</v>
      </c>
      <c r="O9" s="79">
        <v>0</v>
      </c>
      <c r="P9" s="79">
        <f t="shared" si="16"/>
        <v>0</v>
      </c>
      <c r="Q9" s="79">
        <f t="shared" si="17"/>
        <v>0</v>
      </c>
      <c r="R9" s="79">
        <f t="shared" si="2"/>
        <v>0</v>
      </c>
      <c r="S9" s="80">
        <f t="shared" si="18"/>
        <v>0</v>
      </c>
      <c r="T9" s="80">
        <f t="shared" si="3"/>
        <v>0</v>
      </c>
      <c r="U9" s="80">
        <v>0</v>
      </c>
      <c r="V9" s="80">
        <f t="shared" si="19"/>
        <v>0</v>
      </c>
      <c r="W9" s="80">
        <v>0</v>
      </c>
      <c r="X9" s="80">
        <f t="shared" si="20"/>
        <v>0</v>
      </c>
      <c r="Y9" s="80">
        <f t="shared" si="21"/>
        <v>0</v>
      </c>
      <c r="Z9" s="80">
        <f t="shared" si="4"/>
        <v>0</v>
      </c>
      <c r="AA9" s="81">
        <f t="shared" si="22"/>
        <v>0</v>
      </c>
      <c r="AB9" s="81">
        <f t="shared" si="5"/>
        <v>0</v>
      </c>
      <c r="AC9" s="81">
        <v>0</v>
      </c>
      <c r="AD9" s="81">
        <f t="shared" si="23"/>
        <v>0</v>
      </c>
      <c r="AE9" s="81">
        <v>0</v>
      </c>
      <c r="AF9" s="81">
        <f t="shared" si="24"/>
        <v>0</v>
      </c>
      <c r="AG9" s="81">
        <f t="shared" si="25"/>
        <v>0</v>
      </c>
      <c r="AH9" s="81">
        <f t="shared" si="6"/>
        <v>0</v>
      </c>
      <c r="AI9" s="82">
        <f t="shared" si="26"/>
        <v>0</v>
      </c>
      <c r="AJ9" s="82">
        <f t="shared" si="7"/>
        <v>0</v>
      </c>
      <c r="AK9" s="82">
        <v>0</v>
      </c>
      <c r="AL9" s="82">
        <f t="shared" si="27"/>
        <v>0</v>
      </c>
      <c r="AM9" s="82">
        <v>0</v>
      </c>
      <c r="AN9" s="82">
        <f t="shared" si="28"/>
        <v>0</v>
      </c>
      <c r="AO9" s="82">
        <f t="shared" si="29"/>
        <v>0</v>
      </c>
      <c r="AP9" s="82">
        <f t="shared" si="8"/>
        <v>0</v>
      </c>
      <c r="AQ9" s="83">
        <f t="shared" si="30"/>
        <v>0</v>
      </c>
      <c r="AR9" s="83">
        <f t="shared" si="9"/>
        <v>0</v>
      </c>
      <c r="AS9" s="83">
        <v>0</v>
      </c>
      <c r="AT9" s="83">
        <f t="shared" si="31"/>
        <v>0</v>
      </c>
      <c r="AU9" s="83">
        <v>0</v>
      </c>
      <c r="AV9" s="83">
        <f t="shared" si="32"/>
        <v>0</v>
      </c>
      <c r="AW9" s="83">
        <f t="shared" si="33"/>
        <v>0</v>
      </c>
      <c r="AX9" s="83">
        <f t="shared" si="10"/>
        <v>0</v>
      </c>
    </row>
    <row r="10" spans="2:50" x14ac:dyDescent="0.35">
      <c r="B10" s="7" t="s">
        <v>136</v>
      </c>
      <c r="C10" s="78">
        <v>68.092653000000013</v>
      </c>
      <c r="D10" s="78">
        <v>68.092653000000013</v>
      </c>
      <c r="E10" s="78">
        <v>0</v>
      </c>
      <c r="F10" s="78">
        <f t="shared" si="11"/>
        <v>0</v>
      </c>
      <c r="G10" s="78">
        <v>0</v>
      </c>
      <c r="H10" s="78">
        <f t="shared" si="12"/>
        <v>0</v>
      </c>
      <c r="I10" s="78">
        <f t="shared" si="13"/>
        <v>68.092653000000013</v>
      </c>
      <c r="J10" s="78">
        <f t="shared" si="0"/>
        <v>68.092653000000013</v>
      </c>
      <c r="K10" s="79">
        <f t="shared" si="14"/>
        <v>68.092653000000013</v>
      </c>
      <c r="L10" s="79">
        <f t="shared" si="1"/>
        <v>68.092653000000013</v>
      </c>
      <c r="M10" s="79">
        <v>0</v>
      </c>
      <c r="N10" s="79">
        <f t="shared" si="15"/>
        <v>0</v>
      </c>
      <c r="O10" s="79">
        <v>0</v>
      </c>
      <c r="P10" s="79">
        <f t="shared" si="16"/>
        <v>0</v>
      </c>
      <c r="Q10" s="79">
        <f t="shared" si="17"/>
        <v>68.092653000000013</v>
      </c>
      <c r="R10" s="79">
        <f t="shared" si="2"/>
        <v>68.092653000000013</v>
      </c>
      <c r="S10" s="80">
        <f t="shared" si="18"/>
        <v>68.092653000000013</v>
      </c>
      <c r="T10" s="80">
        <f t="shared" si="3"/>
        <v>68.092653000000013</v>
      </c>
      <c r="U10" s="80">
        <v>0</v>
      </c>
      <c r="V10" s="80">
        <f t="shared" si="19"/>
        <v>0</v>
      </c>
      <c r="W10" s="80">
        <v>0</v>
      </c>
      <c r="X10" s="80">
        <f t="shared" si="20"/>
        <v>0</v>
      </c>
      <c r="Y10" s="80">
        <f t="shared" si="21"/>
        <v>68.092653000000013</v>
      </c>
      <c r="Z10" s="80">
        <f t="shared" si="4"/>
        <v>68.092653000000013</v>
      </c>
      <c r="AA10" s="81">
        <f t="shared" si="22"/>
        <v>68.092653000000013</v>
      </c>
      <c r="AB10" s="81">
        <f t="shared" si="5"/>
        <v>68.092653000000013</v>
      </c>
      <c r="AC10" s="81">
        <v>0</v>
      </c>
      <c r="AD10" s="81">
        <f t="shared" si="23"/>
        <v>0</v>
      </c>
      <c r="AE10" s="81">
        <v>0</v>
      </c>
      <c r="AF10" s="81">
        <f t="shared" si="24"/>
        <v>0</v>
      </c>
      <c r="AG10" s="81">
        <f t="shared" si="25"/>
        <v>68.092653000000013</v>
      </c>
      <c r="AH10" s="81">
        <f t="shared" si="6"/>
        <v>68.092653000000013</v>
      </c>
      <c r="AI10" s="82">
        <f t="shared" si="26"/>
        <v>68.092653000000013</v>
      </c>
      <c r="AJ10" s="82">
        <f t="shared" si="7"/>
        <v>68.092653000000013</v>
      </c>
      <c r="AK10" s="82">
        <v>0</v>
      </c>
      <c r="AL10" s="82">
        <f t="shared" si="27"/>
        <v>0</v>
      </c>
      <c r="AM10" s="82">
        <v>0</v>
      </c>
      <c r="AN10" s="82">
        <f t="shared" si="28"/>
        <v>0</v>
      </c>
      <c r="AO10" s="82">
        <f t="shared" si="29"/>
        <v>68.092653000000013</v>
      </c>
      <c r="AP10" s="82">
        <f t="shared" si="8"/>
        <v>68.092653000000013</v>
      </c>
      <c r="AQ10" s="83">
        <f t="shared" si="30"/>
        <v>68.092653000000013</v>
      </c>
      <c r="AR10" s="83">
        <f t="shared" si="9"/>
        <v>68.092653000000013</v>
      </c>
      <c r="AS10" s="83">
        <v>0</v>
      </c>
      <c r="AT10" s="83">
        <f t="shared" si="31"/>
        <v>0</v>
      </c>
      <c r="AU10" s="83">
        <v>0</v>
      </c>
      <c r="AV10" s="83">
        <f t="shared" si="32"/>
        <v>0</v>
      </c>
      <c r="AW10" s="83">
        <f t="shared" si="33"/>
        <v>68.092653000000013</v>
      </c>
      <c r="AX10" s="83">
        <f t="shared" si="10"/>
        <v>68.092653000000013</v>
      </c>
    </row>
    <row r="11" spans="2:50" x14ac:dyDescent="0.35">
      <c r="B11" s="7" t="s">
        <v>137</v>
      </c>
      <c r="C11" s="78">
        <v>84.548094000000006</v>
      </c>
      <c r="D11" s="78">
        <v>84.548094000000006</v>
      </c>
      <c r="E11" s="78">
        <v>0</v>
      </c>
      <c r="F11" s="78">
        <f t="shared" si="11"/>
        <v>0</v>
      </c>
      <c r="G11" s="78">
        <v>0</v>
      </c>
      <c r="H11" s="78">
        <f t="shared" si="12"/>
        <v>0</v>
      </c>
      <c r="I11" s="78">
        <f t="shared" si="13"/>
        <v>84.548094000000006</v>
      </c>
      <c r="J11" s="78">
        <f t="shared" si="0"/>
        <v>84.548094000000006</v>
      </c>
      <c r="K11" s="79">
        <f t="shared" si="14"/>
        <v>84.548094000000006</v>
      </c>
      <c r="L11" s="79">
        <f t="shared" si="1"/>
        <v>84.548094000000006</v>
      </c>
      <c r="M11" s="79">
        <v>0</v>
      </c>
      <c r="N11" s="79">
        <f t="shared" si="15"/>
        <v>0</v>
      </c>
      <c r="O11" s="79">
        <v>0</v>
      </c>
      <c r="P11" s="79">
        <f t="shared" si="16"/>
        <v>0</v>
      </c>
      <c r="Q11" s="79">
        <f t="shared" si="17"/>
        <v>84.548094000000006</v>
      </c>
      <c r="R11" s="79">
        <f t="shared" si="2"/>
        <v>84.548094000000006</v>
      </c>
      <c r="S11" s="80">
        <f t="shared" si="18"/>
        <v>84.548094000000006</v>
      </c>
      <c r="T11" s="80">
        <f t="shared" si="3"/>
        <v>84.548094000000006</v>
      </c>
      <c r="U11" s="80">
        <v>0</v>
      </c>
      <c r="V11" s="80">
        <f t="shared" si="19"/>
        <v>0</v>
      </c>
      <c r="W11" s="80">
        <v>0</v>
      </c>
      <c r="X11" s="80">
        <f t="shared" si="20"/>
        <v>0</v>
      </c>
      <c r="Y11" s="80">
        <f t="shared" si="21"/>
        <v>84.548094000000006</v>
      </c>
      <c r="Z11" s="80">
        <f t="shared" si="4"/>
        <v>84.548094000000006</v>
      </c>
      <c r="AA11" s="81">
        <f t="shared" si="22"/>
        <v>84.548094000000006</v>
      </c>
      <c r="AB11" s="81">
        <f t="shared" si="5"/>
        <v>84.548094000000006</v>
      </c>
      <c r="AC11" s="81">
        <v>0</v>
      </c>
      <c r="AD11" s="81">
        <f t="shared" si="23"/>
        <v>0</v>
      </c>
      <c r="AE11" s="81">
        <v>0</v>
      </c>
      <c r="AF11" s="81">
        <f t="shared" si="24"/>
        <v>0</v>
      </c>
      <c r="AG11" s="81">
        <f t="shared" si="25"/>
        <v>84.548094000000006</v>
      </c>
      <c r="AH11" s="81">
        <f t="shared" si="6"/>
        <v>84.548094000000006</v>
      </c>
      <c r="AI11" s="82">
        <f t="shared" si="26"/>
        <v>84.548094000000006</v>
      </c>
      <c r="AJ11" s="82">
        <f t="shared" si="7"/>
        <v>84.548094000000006</v>
      </c>
      <c r="AK11" s="82">
        <v>0</v>
      </c>
      <c r="AL11" s="82">
        <f t="shared" si="27"/>
        <v>0</v>
      </c>
      <c r="AM11" s="82">
        <v>0</v>
      </c>
      <c r="AN11" s="82">
        <f t="shared" si="28"/>
        <v>0</v>
      </c>
      <c r="AO11" s="82">
        <f t="shared" si="29"/>
        <v>84.548094000000006</v>
      </c>
      <c r="AP11" s="82">
        <f t="shared" si="8"/>
        <v>84.548094000000006</v>
      </c>
      <c r="AQ11" s="83">
        <f t="shared" si="30"/>
        <v>84.548094000000006</v>
      </c>
      <c r="AR11" s="83">
        <f t="shared" si="9"/>
        <v>84.548094000000006</v>
      </c>
      <c r="AS11" s="83">
        <v>0</v>
      </c>
      <c r="AT11" s="83">
        <f t="shared" si="31"/>
        <v>0</v>
      </c>
      <c r="AU11" s="83">
        <v>0</v>
      </c>
      <c r="AV11" s="83">
        <f t="shared" si="32"/>
        <v>0</v>
      </c>
      <c r="AW11" s="83">
        <f t="shared" si="33"/>
        <v>84.548094000000006</v>
      </c>
      <c r="AX11" s="83">
        <f t="shared" si="10"/>
        <v>84.548094000000006</v>
      </c>
    </row>
    <row r="12" spans="2:50" x14ac:dyDescent="0.35">
      <c r="B12" s="7" t="s">
        <v>138</v>
      </c>
      <c r="C12" s="78">
        <v>279.44917344157545</v>
      </c>
      <c r="D12" s="78">
        <v>279.44917344157545</v>
      </c>
      <c r="E12" s="78">
        <v>3.0842250449999997</v>
      </c>
      <c r="F12" s="78">
        <f t="shared" si="11"/>
        <v>3.0814996105929287</v>
      </c>
      <c r="G12" s="78">
        <v>4.2288651000000002</v>
      </c>
      <c r="H12" s="78">
        <f t="shared" si="12"/>
        <v>4.2288651000000002</v>
      </c>
      <c r="I12" s="78">
        <f t="shared" si="13"/>
        <v>278.30453338657543</v>
      </c>
      <c r="J12" s="78">
        <f t="shared" si="0"/>
        <v>278.30180795216836</v>
      </c>
      <c r="K12" s="79">
        <f t="shared" si="14"/>
        <v>278.30453338657543</v>
      </c>
      <c r="L12" s="79">
        <f t="shared" si="1"/>
        <v>278.30180795216836</v>
      </c>
      <c r="M12" s="79">
        <v>6.1082700000000001</v>
      </c>
      <c r="N12" s="79">
        <f t="shared" si="15"/>
        <v>6.1085672110010929</v>
      </c>
      <c r="O12" s="79">
        <v>0</v>
      </c>
      <c r="P12" s="79">
        <f t="shared" si="16"/>
        <v>0</v>
      </c>
      <c r="Q12" s="79">
        <f t="shared" si="17"/>
        <v>284.41280338657543</v>
      </c>
      <c r="R12" s="79">
        <f t="shared" si="2"/>
        <v>284.41037516316948</v>
      </c>
      <c r="S12" s="80">
        <f t="shared" si="18"/>
        <v>284.41280338657543</v>
      </c>
      <c r="T12" s="80">
        <f t="shared" si="3"/>
        <v>284.41037516316948</v>
      </c>
      <c r="U12" s="80">
        <v>5.1572199999999999E-2</v>
      </c>
      <c r="V12" s="80">
        <f t="shared" si="19"/>
        <v>5.151066201496389E-2</v>
      </c>
      <c r="W12" s="80">
        <v>0</v>
      </c>
      <c r="X12" s="80">
        <f t="shared" si="20"/>
        <v>0</v>
      </c>
      <c r="Y12" s="80">
        <f t="shared" si="21"/>
        <v>284.46437558657544</v>
      </c>
      <c r="Z12" s="80">
        <f t="shared" si="4"/>
        <v>284.46188582518442</v>
      </c>
      <c r="AA12" s="81">
        <f t="shared" si="22"/>
        <v>284.46437558657544</v>
      </c>
      <c r="AB12" s="81">
        <f t="shared" si="5"/>
        <v>284.46188582518442</v>
      </c>
      <c r="AC12" s="81">
        <v>0</v>
      </c>
      <c r="AD12" s="81">
        <f t="shared" si="23"/>
        <v>0</v>
      </c>
      <c r="AE12" s="81">
        <v>0</v>
      </c>
      <c r="AF12" s="81">
        <f t="shared" si="24"/>
        <v>0</v>
      </c>
      <c r="AG12" s="81">
        <f t="shared" si="25"/>
        <v>284.46437558657544</v>
      </c>
      <c r="AH12" s="81">
        <f t="shared" si="6"/>
        <v>284.46188582518442</v>
      </c>
      <c r="AI12" s="82">
        <f t="shared" si="26"/>
        <v>284.46437558657544</v>
      </c>
      <c r="AJ12" s="82">
        <f t="shared" si="7"/>
        <v>284.46188582518442</v>
      </c>
      <c r="AK12" s="82">
        <v>5.54</v>
      </c>
      <c r="AL12" s="82">
        <f t="shared" si="27"/>
        <v>5.54</v>
      </c>
      <c r="AM12" s="82">
        <v>0</v>
      </c>
      <c r="AN12" s="82">
        <f t="shared" si="28"/>
        <v>0</v>
      </c>
      <c r="AO12" s="82">
        <f t="shared" si="29"/>
        <v>290.00437558657546</v>
      </c>
      <c r="AP12" s="82">
        <f t="shared" si="8"/>
        <v>290.00188582518444</v>
      </c>
      <c r="AQ12" s="83">
        <f t="shared" si="30"/>
        <v>290.00437558657546</v>
      </c>
      <c r="AR12" s="83">
        <f t="shared" si="9"/>
        <v>290.00188582518444</v>
      </c>
      <c r="AS12" s="83">
        <v>0</v>
      </c>
      <c r="AT12" s="83">
        <f t="shared" si="31"/>
        <v>0</v>
      </c>
      <c r="AU12" s="83">
        <v>0</v>
      </c>
      <c r="AV12" s="83">
        <f t="shared" si="32"/>
        <v>0</v>
      </c>
      <c r="AW12" s="83">
        <f t="shared" si="33"/>
        <v>290.00437558657546</v>
      </c>
      <c r="AX12" s="83">
        <f t="shared" si="10"/>
        <v>290.00188582518444</v>
      </c>
    </row>
    <row r="13" spans="2:50" x14ac:dyDescent="0.35">
      <c r="B13" s="7" t="s">
        <v>139</v>
      </c>
      <c r="C13" s="78">
        <v>0.78466334246575353</v>
      </c>
      <c r="D13" s="78">
        <v>0.78466334246575353</v>
      </c>
      <c r="E13" s="78">
        <v>0</v>
      </c>
      <c r="F13" s="78">
        <f t="shared" si="11"/>
        <v>0</v>
      </c>
      <c r="G13" s="78">
        <v>0</v>
      </c>
      <c r="H13" s="78">
        <f t="shared" si="12"/>
        <v>0</v>
      </c>
      <c r="I13" s="78">
        <f t="shared" si="13"/>
        <v>0.78466334246575353</v>
      </c>
      <c r="J13" s="78">
        <f t="shared" si="0"/>
        <v>0.78466334246575353</v>
      </c>
      <c r="K13" s="79">
        <f t="shared" si="14"/>
        <v>0.78466334246575353</v>
      </c>
      <c r="L13" s="79">
        <f t="shared" si="1"/>
        <v>0.78466334246575353</v>
      </c>
      <c r="M13" s="79">
        <v>0</v>
      </c>
      <c r="N13" s="79">
        <f t="shared" si="15"/>
        <v>0</v>
      </c>
      <c r="O13" s="79">
        <v>0</v>
      </c>
      <c r="P13" s="79">
        <f t="shared" si="16"/>
        <v>0</v>
      </c>
      <c r="Q13" s="79">
        <f t="shared" si="17"/>
        <v>0.78466334246575353</v>
      </c>
      <c r="R13" s="79">
        <f t="shared" si="2"/>
        <v>0.78466334246575353</v>
      </c>
      <c r="S13" s="80">
        <f t="shared" si="18"/>
        <v>0.78466334246575353</v>
      </c>
      <c r="T13" s="80">
        <f t="shared" si="3"/>
        <v>0.78466334246575353</v>
      </c>
      <c r="U13" s="80">
        <v>1.71861</v>
      </c>
      <c r="V13" s="80">
        <f t="shared" si="19"/>
        <v>1.7165592866997548</v>
      </c>
      <c r="W13" s="80">
        <v>0</v>
      </c>
      <c r="X13" s="80">
        <f t="shared" si="20"/>
        <v>0</v>
      </c>
      <c r="Y13" s="80">
        <f t="shared" si="21"/>
        <v>2.5032733424657536</v>
      </c>
      <c r="Z13" s="80">
        <f t="shared" si="4"/>
        <v>2.5012226291655084</v>
      </c>
      <c r="AA13" s="81">
        <f t="shared" si="22"/>
        <v>2.5032733424657536</v>
      </c>
      <c r="AB13" s="81">
        <f t="shared" si="5"/>
        <v>2.5012226291655084</v>
      </c>
      <c r="AC13" s="81">
        <v>0</v>
      </c>
      <c r="AD13" s="81">
        <f t="shared" si="23"/>
        <v>0</v>
      </c>
      <c r="AE13" s="81">
        <v>0</v>
      </c>
      <c r="AF13" s="81">
        <f t="shared" si="24"/>
        <v>0</v>
      </c>
      <c r="AG13" s="81">
        <f t="shared" si="25"/>
        <v>2.5032733424657536</v>
      </c>
      <c r="AH13" s="81">
        <f t="shared" si="6"/>
        <v>2.5012226291655084</v>
      </c>
      <c r="AI13" s="82">
        <f t="shared" si="26"/>
        <v>2.5032733424657536</v>
      </c>
      <c r="AJ13" s="82">
        <f t="shared" si="7"/>
        <v>2.5012226291655084</v>
      </c>
      <c r="AK13" s="82">
        <v>0</v>
      </c>
      <c r="AL13" s="82">
        <f t="shared" si="27"/>
        <v>0</v>
      </c>
      <c r="AM13" s="82">
        <v>0</v>
      </c>
      <c r="AN13" s="82">
        <f t="shared" si="28"/>
        <v>0</v>
      </c>
      <c r="AO13" s="82">
        <f t="shared" si="29"/>
        <v>2.5032733424657536</v>
      </c>
      <c r="AP13" s="82">
        <f t="shared" si="8"/>
        <v>2.5012226291655084</v>
      </c>
      <c r="AQ13" s="83">
        <f t="shared" si="30"/>
        <v>2.5032733424657536</v>
      </c>
      <c r="AR13" s="83">
        <f t="shared" si="9"/>
        <v>2.5012226291655084</v>
      </c>
      <c r="AS13" s="83">
        <v>0</v>
      </c>
      <c r="AT13" s="83">
        <f t="shared" si="31"/>
        <v>0</v>
      </c>
      <c r="AU13" s="83">
        <v>0</v>
      </c>
      <c r="AV13" s="83">
        <f t="shared" si="32"/>
        <v>0</v>
      </c>
      <c r="AW13" s="83">
        <f t="shared" si="33"/>
        <v>2.5032733424657536</v>
      </c>
      <c r="AX13" s="83">
        <f t="shared" si="10"/>
        <v>2.5012226291655084</v>
      </c>
    </row>
    <row r="14" spans="2:50" x14ac:dyDescent="0.35">
      <c r="B14" s="7" t="s">
        <v>140</v>
      </c>
      <c r="C14" s="78">
        <v>0</v>
      </c>
      <c r="D14" s="78">
        <v>0</v>
      </c>
      <c r="E14" s="78">
        <v>0</v>
      </c>
      <c r="F14" s="78">
        <f t="shared" si="11"/>
        <v>0</v>
      </c>
      <c r="G14" s="78">
        <v>0</v>
      </c>
      <c r="H14" s="78">
        <f t="shared" si="12"/>
        <v>0</v>
      </c>
      <c r="I14" s="78">
        <f t="shared" si="13"/>
        <v>0</v>
      </c>
      <c r="J14" s="78">
        <f t="shared" si="0"/>
        <v>0</v>
      </c>
      <c r="K14" s="79">
        <f t="shared" si="14"/>
        <v>0</v>
      </c>
      <c r="L14" s="79">
        <f t="shared" si="1"/>
        <v>0</v>
      </c>
      <c r="M14" s="79">
        <v>6.14298E-2</v>
      </c>
      <c r="N14" s="79">
        <f t="shared" si="15"/>
        <v>6.1432788998907202E-2</v>
      </c>
      <c r="O14" s="79">
        <v>0</v>
      </c>
      <c r="P14" s="79">
        <f t="shared" si="16"/>
        <v>0</v>
      </c>
      <c r="Q14" s="79">
        <f t="shared" si="17"/>
        <v>6.14298E-2</v>
      </c>
      <c r="R14" s="79">
        <f t="shared" si="2"/>
        <v>6.1432788998907202E-2</v>
      </c>
      <c r="S14" s="80">
        <f t="shared" si="18"/>
        <v>6.14298E-2</v>
      </c>
      <c r="T14" s="80">
        <f t="shared" si="3"/>
        <v>6.1432788998907202E-2</v>
      </c>
      <c r="U14" s="80">
        <v>0</v>
      </c>
      <c r="V14" s="80">
        <f t="shared" si="19"/>
        <v>0</v>
      </c>
      <c r="W14" s="80">
        <v>0</v>
      </c>
      <c r="X14" s="80">
        <f t="shared" si="20"/>
        <v>0</v>
      </c>
      <c r="Y14" s="80">
        <f t="shared" si="21"/>
        <v>6.14298E-2</v>
      </c>
      <c r="Z14" s="80">
        <f t="shared" si="4"/>
        <v>6.1432788998907202E-2</v>
      </c>
      <c r="AA14" s="81">
        <f t="shared" si="22"/>
        <v>6.14298E-2</v>
      </c>
      <c r="AB14" s="81">
        <f t="shared" si="5"/>
        <v>6.1432788998907202E-2</v>
      </c>
      <c r="AC14" s="81">
        <v>0</v>
      </c>
      <c r="AD14" s="81">
        <f t="shared" si="23"/>
        <v>0</v>
      </c>
      <c r="AE14" s="81">
        <v>0</v>
      </c>
      <c r="AF14" s="81">
        <f t="shared" si="24"/>
        <v>0</v>
      </c>
      <c r="AG14" s="81">
        <f t="shared" si="25"/>
        <v>6.14298E-2</v>
      </c>
      <c r="AH14" s="81">
        <f t="shared" si="6"/>
        <v>6.1432788998907202E-2</v>
      </c>
      <c r="AI14" s="82">
        <f t="shared" si="26"/>
        <v>6.14298E-2</v>
      </c>
      <c r="AJ14" s="82">
        <f t="shared" si="7"/>
        <v>6.1432788998907202E-2</v>
      </c>
      <c r="AK14" s="82">
        <v>0</v>
      </c>
      <c r="AL14" s="82">
        <f t="shared" si="27"/>
        <v>0</v>
      </c>
      <c r="AM14" s="82">
        <v>0</v>
      </c>
      <c r="AN14" s="82">
        <f t="shared" si="28"/>
        <v>0</v>
      </c>
      <c r="AO14" s="82">
        <f t="shared" si="29"/>
        <v>6.14298E-2</v>
      </c>
      <c r="AP14" s="82">
        <f t="shared" si="8"/>
        <v>6.1432788998907202E-2</v>
      </c>
      <c r="AQ14" s="83">
        <f t="shared" si="30"/>
        <v>6.14298E-2</v>
      </c>
      <c r="AR14" s="83">
        <f t="shared" si="9"/>
        <v>6.1432788998907202E-2</v>
      </c>
      <c r="AS14" s="83">
        <v>0</v>
      </c>
      <c r="AT14" s="83">
        <f t="shared" si="31"/>
        <v>0</v>
      </c>
      <c r="AU14" s="83">
        <v>0</v>
      </c>
      <c r="AV14" s="83">
        <f t="shared" si="32"/>
        <v>0</v>
      </c>
      <c r="AW14" s="83">
        <f t="shared" si="33"/>
        <v>6.14298E-2</v>
      </c>
      <c r="AX14" s="83">
        <f t="shared" si="10"/>
        <v>6.1432788998907202E-2</v>
      </c>
    </row>
    <row r="15" spans="2:50" x14ac:dyDescent="0.35">
      <c r="B15" s="7" t="s">
        <v>141</v>
      </c>
      <c r="C15" s="78">
        <v>0</v>
      </c>
      <c r="D15" s="78">
        <v>0</v>
      </c>
      <c r="E15" s="78">
        <v>0</v>
      </c>
      <c r="F15" s="78">
        <f t="shared" si="11"/>
        <v>0</v>
      </c>
      <c r="G15" s="78">
        <v>0</v>
      </c>
      <c r="H15" s="78">
        <f t="shared" si="12"/>
        <v>0</v>
      </c>
      <c r="I15" s="78">
        <f t="shared" si="13"/>
        <v>0</v>
      </c>
      <c r="J15" s="78">
        <f t="shared" si="0"/>
        <v>0</v>
      </c>
      <c r="K15" s="79">
        <f t="shared" si="14"/>
        <v>0</v>
      </c>
      <c r="L15" s="79">
        <f t="shared" si="1"/>
        <v>0</v>
      </c>
      <c r="M15" s="79">
        <v>0</v>
      </c>
      <c r="N15" s="79">
        <f t="shared" si="15"/>
        <v>0</v>
      </c>
      <c r="O15" s="79">
        <v>0</v>
      </c>
      <c r="P15" s="79">
        <f t="shared" si="16"/>
        <v>0</v>
      </c>
      <c r="Q15" s="79">
        <f t="shared" si="17"/>
        <v>0</v>
      </c>
      <c r="R15" s="79">
        <f t="shared" si="2"/>
        <v>0</v>
      </c>
      <c r="S15" s="80">
        <f t="shared" si="18"/>
        <v>0</v>
      </c>
      <c r="T15" s="80">
        <f t="shared" si="3"/>
        <v>0</v>
      </c>
      <c r="U15" s="80">
        <v>0</v>
      </c>
      <c r="V15" s="80">
        <f t="shared" si="19"/>
        <v>0</v>
      </c>
      <c r="W15" s="80">
        <v>0</v>
      </c>
      <c r="X15" s="80">
        <f t="shared" si="20"/>
        <v>0</v>
      </c>
      <c r="Y15" s="80">
        <f t="shared" si="21"/>
        <v>0</v>
      </c>
      <c r="Z15" s="80">
        <f t="shared" si="4"/>
        <v>0</v>
      </c>
      <c r="AA15" s="81">
        <f t="shared" si="22"/>
        <v>0</v>
      </c>
      <c r="AB15" s="81">
        <f t="shared" si="5"/>
        <v>0</v>
      </c>
      <c r="AC15" s="81">
        <v>0</v>
      </c>
      <c r="AD15" s="81">
        <f t="shared" si="23"/>
        <v>0</v>
      </c>
      <c r="AE15" s="81">
        <v>0</v>
      </c>
      <c r="AF15" s="81">
        <f t="shared" si="24"/>
        <v>0</v>
      </c>
      <c r="AG15" s="81">
        <f t="shared" si="25"/>
        <v>0</v>
      </c>
      <c r="AH15" s="81">
        <f t="shared" si="6"/>
        <v>0</v>
      </c>
      <c r="AI15" s="82">
        <f t="shared" si="26"/>
        <v>0</v>
      </c>
      <c r="AJ15" s="82">
        <f t="shared" si="7"/>
        <v>0</v>
      </c>
      <c r="AK15" s="82">
        <v>0</v>
      </c>
      <c r="AL15" s="82">
        <f t="shared" si="27"/>
        <v>0</v>
      </c>
      <c r="AM15" s="82">
        <v>0</v>
      </c>
      <c r="AN15" s="82">
        <f t="shared" si="28"/>
        <v>0</v>
      </c>
      <c r="AO15" s="82">
        <f t="shared" si="29"/>
        <v>0</v>
      </c>
      <c r="AP15" s="82">
        <f t="shared" si="8"/>
        <v>0</v>
      </c>
      <c r="AQ15" s="83">
        <f t="shared" si="30"/>
        <v>0</v>
      </c>
      <c r="AR15" s="83">
        <f t="shared" si="9"/>
        <v>0</v>
      </c>
      <c r="AS15" s="83">
        <v>0</v>
      </c>
      <c r="AT15" s="83">
        <f t="shared" si="31"/>
        <v>0</v>
      </c>
      <c r="AU15" s="83">
        <v>0</v>
      </c>
      <c r="AV15" s="83">
        <f t="shared" si="32"/>
        <v>0</v>
      </c>
      <c r="AW15" s="83">
        <f t="shared" si="33"/>
        <v>0</v>
      </c>
      <c r="AX15" s="83">
        <f t="shared" si="10"/>
        <v>0</v>
      </c>
    </row>
    <row r="16" spans="2:50" x14ac:dyDescent="0.35">
      <c r="B16" s="7" t="s">
        <v>142</v>
      </c>
      <c r="C16" s="78">
        <v>1.4507770999999998</v>
      </c>
      <c r="D16" s="78">
        <v>1.4507770999999998</v>
      </c>
      <c r="E16" s="78">
        <v>0</v>
      </c>
      <c r="F16" s="78">
        <f t="shared" si="11"/>
        <v>0</v>
      </c>
      <c r="G16" s="78">
        <v>0.101414</v>
      </c>
      <c r="H16" s="78">
        <f t="shared" si="12"/>
        <v>0.101414</v>
      </c>
      <c r="I16" s="78">
        <f t="shared" si="13"/>
        <v>1.3493630999999997</v>
      </c>
      <c r="J16" s="78">
        <f t="shared" si="0"/>
        <v>1.3493630999999997</v>
      </c>
      <c r="K16" s="79">
        <f t="shared" si="14"/>
        <v>1.3493630999999997</v>
      </c>
      <c r="L16" s="79">
        <f t="shared" si="1"/>
        <v>1.3493630999999997</v>
      </c>
      <c r="M16" s="79">
        <v>0</v>
      </c>
      <c r="N16" s="79">
        <f t="shared" si="15"/>
        <v>0</v>
      </c>
      <c r="O16" s="79">
        <v>0</v>
      </c>
      <c r="P16" s="79">
        <f t="shared" si="16"/>
        <v>0</v>
      </c>
      <c r="Q16" s="79">
        <f t="shared" si="17"/>
        <v>1.3493630999999997</v>
      </c>
      <c r="R16" s="79">
        <f t="shared" si="2"/>
        <v>1.3493630999999997</v>
      </c>
      <c r="S16" s="80">
        <f t="shared" si="18"/>
        <v>1.3493630999999997</v>
      </c>
      <c r="T16" s="80">
        <f t="shared" si="3"/>
        <v>1.3493630999999997</v>
      </c>
      <c r="U16" s="80">
        <v>0</v>
      </c>
      <c r="V16" s="80">
        <f t="shared" si="19"/>
        <v>0</v>
      </c>
      <c r="W16" s="80">
        <v>0</v>
      </c>
      <c r="X16" s="80">
        <f t="shared" si="20"/>
        <v>0</v>
      </c>
      <c r="Y16" s="80">
        <f t="shared" si="21"/>
        <v>1.3493630999999997</v>
      </c>
      <c r="Z16" s="80">
        <f t="shared" si="4"/>
        <v>1.3493630999999997</v>
      </c>
      <c r="AA16" s="81">
        <f t="shared" si="22"/>
        <v>1.3493630999999997</v>
      </c>
      <c r="AB16" s="81">
        <f t="shared" si="5"/>
        <v>1.3493630999999997</v>
      </c>
      <c r="AC16" s="81">
        <v>0</v>
      </c>
      <c r="AD16" s="81">
        <f t="shared" si="23"/>
        <v>0</v>
      </c>
      <c r="AE16" s="81">
        <v>0</v>
      </c>
      <c r="AF16" s="81">
        <f t="shared" si="24"/>
        <v>0</v>
      </c>
      <c r="AG16" s="81">
        <f t="shared" si="25"/>
        <v>1.3493630999999997</v>
      </c>
      <c r="AH16" s="81">
        <f t="shared" si="6"/>
        <v>1.3493630999999997</v>
      </c>
      <c r="AI16" s="82">
        <f t="shared" si="26"/>
        <v>1.3493630999999997</v>
      </c>
      <c r="AJ16" s="82">
        <f t="shared" si="7"/>
        <v>1.3493630999999997</v>
      </c>
      <c r="AK16" s="82">
        <v>0</v>
      </c>
      <c r="AL16" s="82">
        <f t="shared" si="27"/>
        <v>0</v>
      </c>
      <c r="AM16" s="82">
        <v>0</v>
      </c>
      <c r="AN16" s="82">
        <f t="shared" si="28"/>
        <v>0</v>
      </c>
      <c r="AO16" s="82">
        <f t="shared" si="29"/>
        <v>1.3493630999999997</v>
      </c>
      <c r="AP16" s="82">
        <f t="shared" si="8"/>
        <v>1.3493630999999997</v>
      </c>
      <c r="AQ16" s="83">
        <f t="shared" si="30"/>
        <v>1.3493630999999997</v>
      </c>
      <c r="AR16" s="83">
        <f t="shared" si="9"/>
        <v>1.3493630999999997</v>
      </c>
      <c r="AS16" s="83">
        <v>0</v>
      </c>
      <c r="AT16" s="83">
        <f t="shared" si="31"/>
        <v>0</v>
      </c>
      <c r="AU16" s="83">
        <v>0</v>
      </c>
      <c r="AV16" s="83">
        <f t="shared" si="32"/>
        <v>0</v>
      </c>
      <c r="AW16" s="83">
        <f t="shared" si="33"/>
        <v>1.3493630999999997</v>
      </c>
      <c r="AX16" s="83">
        <f t="shared" si="10"/>
        <v>1.3493630999999997</v>
      </c>
    </row>
    <row r="17" spans="2:50" x14ac:dyDescent="0.35">
      <c r="B17" s="7" t="s">
        <v>143</v>
      </c>
      <c r="C17" s="78">
        <v>0.6655724301369863</v>
      </c>
      <c r="D17" s="78">
        <v>0.6655724301369863</v>
      </c>
      <c r="E17" s="78">
        <v>2.2089600000000001E-2</v>
      </c>
      <c r="F17" s="78">
        <f t="shared" si="11"/>
        <v>2.2070080102781074E-2</v>
      </c>
      <c r="G17" s="78">
        <v>0</v>
      </c>
      <c r="H17" s="78">
        <f t="shared" si="12"/>
        <v>0</v>
      </c>
      <c r="I17" s="78">
        <f t="shared" si="13"/>
        <v>0.68766203013698635</v>
      </c>
      <c r="J17" s="78">
        <f t="shared" si="0"/>
        <v>0.68764251023976741</v>
      </c>
      <c r="K17" s="79">
        <f t="shared" si="14"/>
        <v>0.68766203013698635</v>
      </c>
      <c r="L17" s="79">
        <f t="shared" si="1"/>
        <v>0.68764251023976741</v>
      </c>
      <c r="M17" s="79">
        <v>0</v>
      </c>
      <c r="N17" s="79">
        <f t="shared" si="15"/>
        <v>0</v>
      </c>
      <c r="O17" s="79">
        <v>0</v>
      </c>
      <c r="P17" s="79">
        <f t="shared" si="16"/>
        <v>0</v>
      </c>
      <c r="Q17" s="79">
        <f t="shared" si="17"/>
        <v>0.68766203013698635</v>
      </c>
      <c r="R17" s="79">
        <f t="shared" si="2"/>
        <v>0.68764251023976741</v>
      </c>
      <c r="S17" s="80">
        <f t="shared" si="18"/>
        <v>0.68766203013698635</v>
      </c>
      <c r="T17" s="80">
        <f t="shared" si="3"/>
        <v>0.68764251023976741</v>
      </c>
      <c r="U17" s="80">
        <v>0</v>
      </c>
      <c r="V17" s="80">
        <f t="shared" si="19"/>
        <v>0</v>
      </c>
      <c r="W17" s="80">
        <v>0</v>
      </c>
      <c r="X17" s="80">
        <f t="shared" si="20"/>
        <v>0</v>
      </c>
      <c r="Y17" s="80">
        <f t="shared" si="21"/>
        <v>0.68766203013698635</v>
      </c>
      <c r="Z17" s="80">
        <f t="shared" si="4"/>
        <v>0.68764251023976741</v>
      </c>
      <c r="AA17" s="81">
        <f t="shared" si="22"/>
        <v>0.68766203013698635</v>
      </c>
      <c r="AB17" s="81">
        <f t="shared" si="5"/>
        <v>0.68764251023976741</v>
      </c>
      <c r="AC17" s="81">
        <v>0</v>
      </c>
      <c r="AD17" s="81">
        <f t="shared" si="23"/>
        <v>0</v>
      </c>
      <c r="AE17" s="81">
        <v>0</v>
      </c>
      <c r="AF17" s="81">
        <f t="shared" si="24"/>
        <v>0</v>
      </c>
      <c r="AG17" s="81">
        <f t="shared" si="25"/>
        <v>0.68766203013698635</v>
      </c>
      <c r="AH17" s="81">
        <f t="shared" si="6"/>
        <v>0.68764251023976741</v>
      </c>
      <c r="AI17" s="82">
        <f t="shared" si="26"/>
        <v>0.68766203013698635</v>
      </c>
      <c r="AJ17" s="82">
        <f t="shared" si="7"/>
        <v>0.68764251023976741</v>
      </c>
      <c r="AK17" s="82">
        <v>0</v>
      </c>
      <c r="AL17" s="82">
        <f t="shared" si="27"/>
        <v>0</v>
      </c>
      <c r="AM17" s="82">
        <v>0</v>
      </c>
      <c r="AN17" s="82">
        <f t="shared" si="28"/>
        <v>0</v>
      </c>
      <c r="AO17" s="82">
        <f t="shared" si="29"/>
        <v>0.68766203013698635</v>
      </c>
      <c r="AP17" s="82">
        <f t="shared" si="8"/>
        <v>0.68764251023976741</v>
      </c>
      <c r="AQ17" s="83">
        <f t="shared" si="30"/>
        <v>0.68766203013698635</v>
      </c>
      <c r="AR17" s="83">
        <f t="shared" si="9"/>
        <v>0.68764251023976741</v>
      </c>
      <c r="AS17" s="83">
        <v>0</v>
      </c>
      <c r="AT17" s="83">
        <f t="shared" si="31"/>
        <v>0</v>
      </c>
      <c r="AU17" s="83">
        <v>0</v>
      </c>
      <c r="AV17" s="83">
        <f t="shared" si="32"/>
        <v>0</v>
      </c>
      <c r="AW17" s="83">
        <f t="shared" si="33"/>
        <v>0.68766203013698635</v>
      </c>
      <c r="AX17" s="83">
        <f t="shared" si="10"/>
        <v>0.68764251023976741</v>
      </c>
    </row>
    <row r="18" spans="2:50" x14ac:dyDescent="0.35">
      <c r="B18" s="7" t="s">
        <v>144</v>
      </c>
      <c r="C18" s="78">
        <v>1.5593061024520547</v>
      </c>
      <c r="D18" s="78">
        <v>1.5593061024520547</v>
      </c>
      <c r="E18" s="78">
        <v>0.60696666700000002</v>
      </c>
      <c r="F18" s="78">
        <f t="shared" si="11"/>
        <v>0.60643030930429009</v>
      </c>
      <c r="G18" s="78">
        <v>0</v>
      </c>
      <c r="H18" s="78">
        <f t="shared" si="12"/>
        <v>0</v>
      </c>
      <c r="I18" s="78">
        <f t="shared" si="13"/>
        <v>2.1662727694520547</v>
      </c>
      <c r="J18" s="78">
        <f t="shared" si="0"/>
        <v>2.1657364117563449</v>
      </c>
      <c r="K18" s="79">
        <f t="shared" si="14"/>
        <v>2.1662727694520547</v>
      </c>
      <c r="L18" s="79">
        <f t="shared" si="1"/>
        <v>2.1657364117563449</v>
      </c>
      <c r="M18" s="79">
        <v>0</v>
      </c>
      <c r="N18" s="79">
        <f t="shared" si="15"/>
        <v>0</v>
      </c>
      <c r="O18" s="79">
        <v>0</v>
      </c>
      <c r="P18" s="79">
        <f t="shared" si="16"/>
        <v>0</v>
      </c>
      <c r="Q18" s="79">
        <f t="shared" si="17"/>
        <v>2.1662727694520547</v>
      </c>
      <c r="R18" s="79">
        <f t="shared" si="2"/>
        <v>2.1657364117563449</v>
      </c>
      <c r="S18" s="80">
        <f t="shared" si="18"/>
        <v>2.1662727694520547</v>
      </c>
      <c r="T18" s="80">
        <f t="shared" si="3"/>
        <v>2.1657364117563449</v>
      </c>
      <c r="U18" s="80">
        <v>3.1968196999999997E-2</v>
      </c>
      <c r="V18" s="80">
        <f t="shared" si="19"/>
        <v>3.1930051285281265E-2</v>
      </c>
      <c r="W18" s="80">
        <v>0</v>
      </c>
      <c r="X18" s="80">
        <f t="shared" si="20"/>
        <v>0</v>
      </c>
      <c r="Y18" s="80">
        <f t="shared" si="21"/>
        <v>2.1982409664520546</v>
      </c>
      <c r="Z18" s="80">
        <f t="shared" si="4"/>
        <v>2.1976664630416263</v>
      </c>
      <c r="AA18" s="81">
        <f t="shared" si="22"/>
        <v>2.1982409664520546</v>
      </c>
      <c r="AB18" s="81">
        <f t="shared" si="5"/>
        <v>2.1976664630416263</v>
      </c>
      <c r="AC18" s="81">
        <v>0</v>
      </c>
      <c r="AD18" s="81">
        <f t="shared" si="23"/>
        <v>0</v>
      </c>
      <c r="AE18" s="81">
        <v>0</v>
      </c>
      <c r="AF18" s="81">
        <f t="shared" si="24"/>
        <v>0</v>
      </c>
      <c r="AG18" s="81">
        <f t="shared" si="25"/>
        <v>2.1982409664520546</v>
      </c>
      <c r="AH18" s="81">
        <f t="shared" si="6"/>
        <v>2.1976664630416263</v>
      </c>
      <c r="AI18" s="82">
        <f t="shared" si="26"/>
        <v>2.1982409664520546</v>
      </c>
      <c r="AJ18" s="82">
        <f t="shared" si="7"/>
        <v>2.1976664630416263</v>
      </c>
      <c r="AK18" s="82">
        <v>0</v>
      </c>
      <c r="AL18" s="82">
        <f t="shared" si="27"/>
        <v>0</v>
      </c>
      <c r="AM18" s="82">
        <v>0</v>
      </c>
      <c r="AN18" s="82">
        <f t="shared" si="28"/>
        <v>0</v>
      </c>
      <c r="AO18" s="82">
        <f t="shared" si="29"/>
        <v>2.1982409664520546</v>
      </c>
      <c r="AP18" s="82">
        <f t="shared" si="8"/>
        <v>2.1976664630416263</v>
      </c>
      <c r="AQ18" s="83">
        <f t="shared" si="30"/>
        <v>2.1982409664520546</v>
      </c>
      <c r="AR18" s="83">
        <f t="shared" si="9"/>
        <v>2.1976664630416263</v>
      </c>
      <c r="AS18" s="83">
        <v>0</v>
      </c>
      <c r="AT18" s="83">
        <f t="shared" si="31"/>
        <v>0</v>
      </c>
      <c r="AU18" s="83">
        <v>0</v>
      </c>
      <c r="AV18" s="83">
        <f t="shared" si="32"/>
        <v>0</v>
      </c>
      <c r="AW18" s="83">
        <f t="shared" si="33"/>
        <v>2.1982409664520546</v>
      </c>
      <c r="AX18" s="83">
        <f t="shared" si="10"/>
        <v>2.1976664630416263</v>
      </c>
    </row>
    <row r="19" spans="2:50" x14ac:dyDescent="0.35">
      <c r="B19" s="7" t="s">
        <v>145</v>
      </c>
      <c r="C19" s="78">
        <v>0</v>
      </c>
      <c r="D19" s="78">
        <v>0</v>
      </c>
      <c r="E19" s="78">
        <v>0</v>
      </c>
      <c r="F19" s="78">
        <f t="shared" si="11"/>
        <v>0</v>
      </c>
      <c r="G19" s="78">
        <v>0</v>
      </c>
      <c r="H19" s="78">
        <f t="shared" si="12"/>
        <v>0</v>
      </c>
      <c r="I19" s="78">
        <f t="shared" si="13"/>
        <v>0</v>
      </c>
      <c r="J19" s="78">
        <f t="shared" si="0"/>
        <v>0</v>
      </c>
      <c r="K19" s="79">
        <f t="shared" si="14"/>
        <v>0</v>
      </c>
      <c r="L19" s="79">
        <f t="shared" si="1"/>
        <v>0</v>
      </c>
      <c r="M19" s="79">
        <v>0</v>
      </c>
      <c r="N19" s="79">
        <f t="shared" si="15"/>
        <v>0</v>
      </c>
      <c r="O19" s="79">
        <v>0</v>
      </c>
      <c r="P19" s="79">
        <f t="shared" si="16"/>
        <v>0</v>
      </c>
      <c r="Q19" s="79">
        <f t="shared" si="17"/>
        <v>0</v>
      </c>
      <c r="R19" s="79">
        <f t="shared" si="2"/>
        <v>0</v>
      </c>
      <c r="S19" s="80">
        <f t="shared" si="18"/>
        <v>0</v>
      </c>
      <c r="T19" s="80">
        <f t="shared" si="3"/>
        <v>0</v>
      </c>
      <c r="U19" s="80">
        <v>0</v>
      </c>
      <c r="V19" s="80">
        <f t="shared" si="19"/>
        <v>0</v>
      </c>
      <c r="W19" s="80">
        <v>0</v>
      </c>
      <c r="X19" s="80">
        <f t="shared" si="20"/>
        <v>0</v>
      </c>
      <c r="Y19" s="80">
        <f t="shared" si="21"/>
        <v>0</v>
      </c>
      <c r="Z19" s="80">
        <f t="shared" si="4"/>
        <v>0</v>
      </c>
      <c r="AA19" s="81">
        <f t="shared" si="22"/>
        <v>0</v>
      </c>
      <c r="AB19" s="81">
        <f t="shared" si="5"/>
        <v>0</v>
      </c>
      <c r="AC19" s="81">
        <v>0</v>
      </c>
      <c r="AD19" s="81">
        <f t="shared" si="23"/>
        <v>0</v>
      </c>
      <c r="AE19" s="81">
        <v>0</v>
      </c>
      <c r="AF19" s="81">
        <f t="shared" si="24"/>
        <v>0</v>
      </c>
      <c r="AG19" s="81">
        <f t="shared" si="25"/>
        <v>0</v>
      </c>
      <c r="AH19" s="81">
        <f t="shared" si="6"/>
        <v>0</v>
      </c>
      <c r="AI19" s="82">
        <f t="shared" si="26"/>
        <v>0</v>
      </c>
      <c r="AJ19" s="82">
        <f t="shared" si="7"/>
        <v>0</v>
      </c>
      <c r="AK19" s="82">
        <v>0</v>
      </c>
      <c r="AL19" s="82">
        <f t="shared" si="27"/>
        <v>0</v>
      </c>
      <c r="AM19" s="82">
        <v>0</v>
      </c>
      <c r="AN19" s="82">
        <f t="shared" si="28"/>
        <v>0</v>
      </c>
      <c r="AO19" s="82">
        <f t="shared" si="29"/>
        <v>0</v>
      </c>
      <c r="AP19" s="82">
        <f t="shared" si="8"/>
        <v>0</v>
      </c>
      <c r="AQ19" s="83">
        <f t="shared" si="30"/>
        <v>0</v>
      </c>
      <c r="AR19" s="83">
        <f t="shared" si="9"/>
        <v>0</v>
      </c>
      <c r="AS19" s="83">
        <v>0</v>
      </c>
      <c r="AT19" s="83">
        <f t="shared" si="31"/>
        <v>0</v>
      </c>
      <c r="AU19" s="83">
        <v>0</v>
      </c>
      <c r="AV19" s="83">
        <f t="shared" si="32"/>
        <v>0</v>
      </c>
      <c r="AW19" s="83">
        <f t="shared" si="33"/>
        <v>0</v>
      </c>
      <c r="AX19" s="83">
        <f t="shared" si="10"/>
        <v>0</v>
      </c>
    </row>
    <row r="20" spans="2:50" x14ac:dyDescent="0.35">
      <c r="B20" s="7" t="s">
        <v>146</v>
      </c>
      <c r="C20" s="78">
        <v>0</v>
      </c>
      <c r="D20" s="78">
        <v>0</v>
      </c>
      <c r="E20" s="78">
        <v>0</v>
      </c>
      <c r="F20" s="78">
        <f t="shared" si="11"/>
        <v>0</v>
      </c>
      <c r="G20" s="78">
        <v>0</v>
      </c>
      <c r="H20" s="78">
        <f t="shared" si="12"/>
        <v>0</v>
      </c>
      <c r="I20" s="78">
        <f t="shared" si="13"/>
        <v>0</v>
      </c>
      <c r="J20" s="78">
        <f t="shared" si="0"/>
        <v>0</v>
      </c>
      <c r="K20" s="79">
        <f t="shared" si="14"/>
        <v>0</v>
      </c>
      <c r="L20" s="79">
        <f t="shared" si="1"/>
        <v>0</v>
      </c>
      <c r="M20" s="79">
        <v>0</v>
      </c>
      <c r="N20" s="79">
        <f t="shared" si="15"/>
        <v>0</v>
      </c>
      <c r="O20" s="79">
        <v>0</v>
      </c>
      <c r="P20" s="79">
        <f t="shared" si="16"/>
        <v>0</v>
      </c>
      <c r="Q20" s="79">
        <f t="shared" si="17"/>
        <v>0</v>
      </c>
      <c r="R20" s="79">
        <f t="shared" si="2"/>
        <v>0</v>
      </c>
      <c r="S20" s="80">
        <f t="shared" si="18"/>
        <v>0</v>
      </c>
      <c r="T20" s="80">
        <f t="shared" si="3"/>
        <v>0</v>
      </c>
      <c r="U20" s="80">
        <v>0</v>
      </c>
      <c r="V20" s="80">
        <f t="shared" si="19"/>
        <v>0</v>
      </c>
      <c r="W20" s="80">
        <v>0</v>
      </c>
      <c r="X20" s="80">
        <f t="shared" si="20"/>
        <v>0</v>
      </c>
      <c r="Y20" s="80">
        <f t="shared" si="21"/>
        <v>0</v>
      </c>
      <c r="Z20" s="80">
        <f t="shared" si="4"/>
        <v>0</v>
      </c>
      <c r="AA20" s="81">
        <f t="shared" si="22"/>
        <v>0</v>
      </c>
      <c r="AB20" s="81">
        <f t="shared" si="5"/>
        <v>0</v>
      </c>
      <c r="AC20" s="81">
        <v>0</v>
      </c>
      <c r="AD20" s="81">
        <f t="shared" si="23"/>
        <v>0</v>
      </c>
      <c r="AE20" s="81">
        <v>0</v>
      </c>
      <c r="AF20" s="81">
        <f t="shared" si="24"/>
        <v>0</v>
      </c>
      <c r="AG20" s="81">
        <f t="shared" si="25"/>
        <v>0</v>
      </c>
      <c r="AH20" s="81">
        <f t="shared" si="6"/>
        <v>0</v>
      </c>
      <c r="AI20" s="82">
        <f t="shared" si="26"/>
        <v>0</v>
      </c>
      <c r="AJ20" s="82">
        <f t="shared" si="7"/>
        <v>0</v>
      </c>
      <c r="AK20" s="82">
        <v>0</v>
      </c>
      <c r="AL20" s="82">
        <f t="shared" si="27"/>
        <v>0</v>
      </c>
      <c r="AM20" s="82">
        <v>0</v>
      </c>
      <c r="AN20" s="82">
        <f t="shared" si="28"/>
        <v>0</v>
      </c>
      <c r="AO20" s="82">
        <f t="shared" si="29"/>
        <v>0</v>
      </c>
      <c r="AP20" s="82">
        <f t="shared" si="8"/>
        <v>0</v>
      </c>
      <c r="AQ20" s="83">
        <f t="shared" si="30"/>
        <v>0</v>
      </c>
      <c r="AR20" s="83">
        <f t="shared" si="9"/>
        <v>0</v>
      </c>
      <c r="AS20" s="83">
        <v>0</v>
      </c>
      <c r="AT20" s="83">
        <f t="shared" si="31"/>
        <v>0</v>
      </c>
      <c r="AU20" s="83">
        <v>0</v>
      </c>
      <c r="AV20" s="83">
        <f t="shared" si="32"/>
        <v>0</v>
      </c>
      <c r="AW20" s="83">
        <f t="shared" si="33"/>
        <v>0</v>
      </c>
      <c r="AX20" s="83">
        <f t="shared" si="10"/>
        <v>0</v>
      </c>
    </row>
    <row r="21" spans="2:50" x14ac:dyDescent="0.35">
      <c r="B21" s="7" t="s">
        <v>147</v>
      </c>
      <c r="C21" s="78">
        <v>0</v>
      </c>
      <c r="D21" s="78">
        <v>0</v>
      </c>
      <c r="E21" s="78">
        <v>0</v>
      </c>
      <c r="F21" s="78">
        <f t="shared" si="11"/>
        <v>0</v>
      </c>
      <c r="G21" s="78">
        <v>0</v>
      </c>
      <c r="H21" s="78">
        <f t="shared" si="12"/>
        <v>0</v>
      </c>
      <c r="I21" s="78">
        <f t="shared" si="13"/>
        <v>0</v>
      </c>
      <c r="J21" s="78">
        <f t="shared" si="0"/>
        <v>0</v>
      </c>
      <c r="K21" s="79">
        <f t="shared" si="14"/>
        <v>0</v>
      </c>
      <c r="L21" s="79">
        <f t="shared" si="1"/>
        <v>0</v>
      </c>
      <c r="M21" s="79">
        <v>0</v>
      </c>
      <c r="N21" s="79">
        <f t="shared" si="15"/>
        <v>0</v>
      </c>
      <c r="O21" s="79">
        <v>0</v>
      </c>
      <c r="P21" s="79">
        <f t="shared" si="16"/>
        <v>0</v>
      </c>
      <c r="Q21" s="79">
        <f t="shared" si="17"/>
        <v>0</v>
      </c>
      <c r="R21" s="79">
        <f t="shared" si="2"/>
        <v>0</v>
      </c>
      <c r="S21" s="80">
        <f t="shared" si="18"/>
        <v>0</v>
      </c>
      <c r="T21" s="80">
        <f t="shared" si="3"/>
        <v>0</v>
      </c>
      <c r="U21" s="80">
        <v>0</v>
      </c>
      <c r="V21" s="80">
        <f t="shared" si="19"/>
        <v>0</v>
      </c>
      <c r="W21" s="80">
        <v>0</v>
      </c>
      <c r="X21" s="80">
        <f t="shared" si="20"/>
        <v>0</v>
      </c>
      <c r="Y21" s="80">
        <f t="shared" si="21"/>
        <v>0</v>
      </c>
      <c r="Z21" s="80">
        <f t="shared" si="4"/>
        <v>0</v>
      </c>
      <c r="AA21" s="81">
        <f t="shared" si="22"/>
        <v>0</v>
      </c>
      <c r="AB21" s="81">
        <f t="shared" si="5"/>
        <v>0</v>
      </c>
      <c r="AC21" s="81">
        <v>0</v>
      </c>
      <c r="AD21" s="81">
        <f t="shared" si="23"/>
        <v>0</v>
      </c>
      <c r="AE21" s="81">
        <v>0</v>
      </c>
      <c r="AF21" s="81">
        <f t="shared" si="24"/>
        <v>0</v>
      </c>
      <c r="AG21" s="81">
        <f t="shared" si="25"/>
        <v>0</v>
      </c>
      <c r="AH21" s="81">
        <f t="shared" si="6"/>
        <v>0</v>
      </c>
      <c r="AI21" s="82">
        <f t="shared" si="26"/>
        <v>0</v>
      </c>
      <c r="AJ21" s="82">
        <f t="shared" si="7"/>
        <v>0</v>
      </c>
      <c r="AK21" s="82">
        <v>0</v>
      </c>
      <c r="AL21" s="82">
        <f t="shared" si="27"/>
        <v>0</v>
      </c>
      <c r="AM21" s="82">
        <v>0</v>
      </c>
      <c r="AN21" s="82">
        <f t="shared" si="28"/>
        <v>0</v>
      </c>
      <c r="AO21" s="82">
        <f t="shared" si="29"/>
        <v>0</v>
      </c>
      <c r="AP21" s="82">
        <f t="shared" si="8"/>
        <v>0</v>
      </c>
      <c r="AQ21" s="83">
        <f t="shared" si="30"/>
        <v>0</v>
      </c>
      <c r="AR21" s="83">
        <f t="shared" si="9"/>
        <v>0</v>
      </c>
      <c r="AS21" s="83">
        <v>0</v>
      </c>
      <c r="AT21" s="83">
        <f t="shared" si="31"/>
        <v>0</v>
      </c>
      <c r="AU21" s="83">
        <v>0</v>
      </c>
      <c r="AV21" s="83">
        <f t="shared" si="32"/>
        <v>0</v>
      </c>
      <c r="AW21" s="83">
        <f t="shared" si="33"/>
        <v>0</v>
      </c>
      <c r="AX21" s="83">
        <f t="shared" si="10"/>
        <v>0</v>
      </c>
    </row>
    <row r="22" spans="2:50" x14ac:dyDescent="0.35">
      <c r="B22" s="7" t="s">
        <v>148</v>
      </c>
      <c r="C22" s="78">
        <v>0</v>
      </c>
      <c r="D22" s="78">
        <v>0</v>
      </c>
      <c r="E22" s="78">
        <v>0</v>
      </c>
      <c r="F22" s="78">
        <f t="shared" si="11"/>
        <v>0</v>
      </c>
      <c r="G22" s="78">
        <v>0</v>
      </c>
      <c r="H22" s="78">
        <f t="shared" si="12"/>
        <v>0</v>
      </c>
      <c r="I22" s="78">
        <f t="shared" si="13"/>
        <v>0</v>
      </c>
      <c r="J22" s="78">
        <f t="shared" si="0"/>
        <v>0</v>
      </c>
      <c r="K22" s="79">
        <f t="shared" si="14"/>
        <v>0</v>
      </c>
      <c r="L22" s="79">
        <f t="shared" si="1"/>
        <v>0</v>
      </c>
      <c r="M22" s="79">
        <v>0</v>
      </c>
      <c r="N22" s="79">
        <f t="shared" si="15"/>
        <v>0</v>
      </c>
      <c r="O22" s="79">
        <v>0</v>
      </c>
      <c r="P22" s="79">
        <f t="shared" si="16"/>
        <v>0</v>
      </c>
      <c r="Q22" s="79">
        <f t="shared" si="17"/>
        <v>0</v>
      </c>
      <c r="R22" s="79">
        <f t="shared" si="2"/>
        <v>0</v>
      </c>
      <c r="S22" s="80">
        <f t="shared" si="18"/>
        <v>0</v>
      </c>
      <c r="T22" s="80">
        <f t="shared" si="3"/>
        <v>0</v>
      </c>
      <c r="U22" s="80">
        <v>0</v>
      </c>
      <c r="V22" s="80">
        <f t="shared" si="19"/>
        <v>0</v>
      </c>
      <c r="W22" s="80">
        <v>0</v>
      </c>
      <c r="X22" s="80">
        <f t="shared" si="20"/>
        <v>0</v>
      </c>
      <c r="Y22" s="80">
        <f t="shared" si="21"/>
        <v>0</v>
      </c>
      <c r="Z22" s="80">
        <f t="shared" si="4"/>
        <v>0</v>
      </c>
      <c r="AA22" s="81">
        <f t="shared" si="22"/>
        <v>0</v>
      </c>
      <c r="AB22" s="81">
        <f t="shared" si="5"/>
        <v>0</v>
      </c>
      <c r="AC22" s="81">
        <v>0</v>
      </c>
      <c r="AD22" s="81">
        <f t="shared" si="23"/>
        <v>0</v>
      </c>
      <c r="AE22" s="81">
        <v>0</v>
      </c>
      <c r="AF22" s="81">
        <f t="shared" si="24"/>
        <v>0</v>
      </c>
      <c r="AG22" s="81">
        <f t="shared" si="25"/>
        <v>0</v>
      </c>
      <c r="AH22" s="81">
        <f t="shared" si="6"/>
        <v>0</v>
      </c>
      <c r="AI22" s="82">
        <f t="shared" si="26"/>
        <v>0</v>
      </c>
      <c r="AJ22" s="82">
        <f t="shared" si="7"/>
        <v>0</v>
      </c>
      <c r="AK22" s="82">
        <v>0</v>
      </c>
      <c r="AL22" s="82">
        <f t="shared" si="27"/>
        <v>0</v>
      </c>
      <c r="AM22" s="82">
        <v>0</v>
      </c>
      <c r="AN22" s="82">
        <f t="shared" si="28"/>
        <v>0</v>
      </c>
      <c r="AO22" s="82">
        <f t="shared" si="29"/>
        <v>0</v>
      </c>
      <c r="AP22" s="82">
        <f t="shared" si="8"/>
        <v>0</v>
      </c>
      <c r="AQ22" s="83">
        <f t="shared" si="30"/>
        <v>0</v>
      </c>
      <c r="AR22" s="83">
        <f t="shared" si="9"/>
        <v>0</v>
      </c>
      <c r="AS22" s="83">
        <v>0</v>
      </c>
      <c r="AT22" s="83">
        <f t="shared" si="31"/>
        <v>0</v>
      </c>
      <c r="AU22" s="83">
        <v>0</v>
      </c>
      <c r="AV22" s="83">
        <f t="shared" si="32"/>
        <v>0</v>
      </c>
      <c r="AW22" s="83">
        <f t="shared" si="33"/>
        <v>0</v>
      </c>
      <c r="AX22" s="83">
        <f t="shared" si="10"/>
        <v>0</v>
      </c>
    </row>
    <row r="23" spans="2:50" ht="31" x14ac:dyDescent="0.35">
      <c r="B23" s="84" t="s">
        <v>149</v>
      </c>
      <c r="C23" s="78">
        <v>0</v>
      </c>
      <c r="D23" s="78">
        <v>0</v>
      </c>
      <c r="E23" s="78">
        <v>0</v>
      </c>
      <c r="F23" s="78">
        <f t="shared" si="11"/>
        <v>0</v>
      </c>
      <c r="G23" s="78">
        <v>0</v>
      </c>
      <c r="H23" s="78">
        <f t="shared" si="12"/>
        <v>0</v>
      </c>
      <c r="I23" s="78">
        <f t="shared" si="13"/>
        <v>0</v>
      </c>
      <c r="J23" s="78">
        <f t="shared" si="0"/>
        <v>0</v>
      </c>
      <c r="K23" s="79">
        <f t="shared" si="14"/>
        <v>0</v>
      </c>
      <c r="L23" s="79">
        <f t="shared" si="1"/>
        <v>0</v>
      </c>
      <c r="M23" s="79">
        <v>0</v>
      </c>
      <c r="N23" s="79">
        <f t="shared" si="15"/>
        <v>0</v>
      </c>
      <c r="O23" s="79">
        <v>0</v>
      </c>
      <c r="P23" s="79">
        <f t="shared" si="16"/>
        <v>0</v>
      </c>
      <c r="Q23" s="79">
        <f t="shared" si="17"/>
        <v>0</v>
      </c>
      <c r="R23" s="79">
        <f t="shared" si="2"/>
        <v>0</v>
      </c>
      <c r="S23" s="80">
        <f t="shared" si="18"/>
        <v>0</v>
      </c>
      <c r="T23" s="80">
        <f t="shared" si="3"/>
        <v>0</v>
      </c>
      <c r="U23" s="80">
        <v>0</v>
      </c>
      <c r="V23" s="80">
        <f t="shared" si="19"/>
        <v>0</v>
      </c>
      <c r="W23" s="80">
        <v>0</v>
      </c>
      <c r="X23" s="80">
        <f t="shared" si="20"/>
        <v>0</v>
      </c>
      <c r="Y23" s="80">
        <f t="shared" si="21"/>
        <v>0</v>
      </c>
      <c r="Z23" s="80">
        <f t="shared" si="4"/>
        <v>0</v>
      </c>
      <c r="AA23" s="81">
        <f t="shared" si="22"/>
        <v>0</v>
      </c>
      <c r="AB23" s="81">
        <f t="shared" si="5"/>
        <v>0</v>
      </c>
      <c r="AC23" s="81">
        <v>0</v>
      </c>
      <c r="AD23" s="81">
        <f t="shared" si="23"/>
        <v>0</v>
      </c>
      <c r="AE23" s="81">
        <v>0</v>
      </c>
      <c r="AF23" s="81">
        <f t="shared" si="24"/>
        <v>0</v>
      </c>
      <c r="AG23" s="81">
        <f t="shared" si="25"/>
        <v>0</v>
      </c>
      <c r="AH23" s="81">
        <f t="shared" si="6"/>
        <v>0</v>
      </c>
      <c r="AI23" s="82">
        <f t="shared" si="26"/>
        <v>0</v>
      </c>
      <c r="AJ23" s="82">
        <f t="shared" si="7"/>
        <v>0</v>
      </c>
      <c r="AK23" s="82">
        <v>0</v>
      </c>
      <c r="AL23" s="82">
        <f t="shared" si="27"/>
        <v>0</v>
      </c>
      <c r="AM23" s="82">
        <v>0</v>
      </c>
      <c r="AN23" s="82">
        <f t="shared" si="28"/>
        <v>0</v>
      </c>
      <c r="AO23" s="82">
        <f t="shared" si="29"/>
        <v>0</v>
      </c>
      <c r="AP23" s="82">
        <f t="shared" si="8"/>
        <v>0</v>
      </c>
      <c r="AQ23" s="83">
        <f t="shared" si="30"/>
        <v>0</v>
      </c>
      <c r="AR23" s="83">
        <f t="shared" si="9"/>
        <v>0</v>
      </c>
      <c r="AS23" s="83">
        <v>0</v>
      </c>
      <c r="AT23" s="83">
        <f t="shared" si="31"/>
        <v>0</v>
      </c>
      <c r="AU23" s="83">
        <v>0</v>
      </c>
      <c r="AV23" s="83">
        <f t="shared" si="32"/>
        <v>0</v>
      </c>
      <c r="AW23" s="83">
        <f t="shared" si="33"/>
        <v>0</v>
      </c>
      <c r="AX23" s="83">
        <f t="shared" si="10"/>
        <v>0</v>
      </c>
    </row>
    <row r="24" spans="2:50" x14ac:dyDescent="0.35">
      <c r="B24" s="12" t="s">
        <v>27</v>
      </c>
      <c r="C24" s="85">
        <f>SUM(C7:C23)</f>
        <v>458.65344351252071</v>
      </c>
      <c r="D24" s="85">
        <f t="shared" ref="D24:AX24" si="34">SUM(D7:D23)</f>
        <v>458.65344351252071</v>
      </c>
      <c r="E24" s="85">
        <f t="shared" si="34"/>
        <v>3.7132813119999999</v>
      </c>
      <c r="F24" s="85">
        <v>3.71</v>
      </c>
      <c r="G24" s="85">
        <f t="shared" si="34"/>
        <v>4.3302791000000003</v>
      </c>
      <c r="H24" s="85">
        <f t="shared" si="34"/>
        <v>4.3302791000000003</v>
      </c>
      <c r="I24" s="85">
        <f t="shared" si="34"/>
        <v>458.03644572452072</v>
      </c>
      <c r="J24" s="85">
        <f t="shared" si="34"/>
        <v>458.0331644125207</v>
      </c>
      <c r="K24" s="86">
        <f t="shared" si="34"/>
        <v>458.03644572452072</v>
      </c>
      <c r="L24" s="86">
        <f t="shared" si="34"/>
        <v>458.0331644125207</v>
      </c>
      <c r="M24" s="86">
        <f t="shared" si="34"/>
        <v>6.1696998000000001</v>
      </c>
      <c r="N24" s="86">
        <v>6.17</v>
      </c>
      <c r="O24" s="86">
        <f t="shared" si="34"/>
        <v>0</v>
      </c>
      <c r="P24" s="86">
        <f t="shared" si="34"/>
        <v>0</v>
      </c>
      <c r="Q24" s="86">
        <f t="shared" si="34"/>
        <v>464.20614552452071</v>
      </c>
      <c r="R24" s="86">
        <f t="shared" si="34"/>
        <v>464.20316441252072</v>
      </c>
      <c r="S24" s="87">
        <f t="shared" si="34"/>
        <v>464.20614552452071</v>
      </c>
      <c r="T24" s="87">
        <f t="shared" si="34"/>
        <v>464.20316441252072</v>
      </c>
      <c r="U24" s="87">
        <f t="shared" si="34"/>
        <v>1.8021503970000001</v>
      </c>
      <c r="V24" s="87">
        <v>1.8</v>
      </c>
      <c r="W24" s="87">
        <f t="shared" si="34"/>
        <v>0.1511776</v>
      </c>
      <c r="X24" s="87">
        <f t="shared" si="34"/>
        <v>0.1511776</v>
      </c>
      <c r="Y24" s="87">
        <f t="shared" si="34"/>
        <v>465.85711832152066</v>
      </c>
      <c r="Z24" s="87">
        <f t="shared" si="34"/>
        <v>465.85198681252064</v>
      </c>
      <c r="AA24" s="88">
        <f t="shared" si="34"/>
        <v>465.85711832152066</v>
      </c>
      <c r="AB24" s="88">
        <f t="shared" si="34"/>
        <v>465.85198681252064</v>
      </c>
      <c r="AC24" s="88">
        <f t="shared" si="34"/>
        <v>0</v>
      </c>
      <c r="AD24" s="88">
        <v>0</v>
      </c>
      <c r="AE24" s="88">
        <f t="shared" si="34"/>
        <v>0</v>
      </c>
      <c r="AF24" s="88">
        <f t="shared" si="34"/>
        <v>0</v>
      </c>
      <c r="AG24" s="88">
        <f t="shared" si="34"/>
        <v>465.85711832152066</v>
      </c>
      <c r="AH24" s="88">
        <f t="shared" si="34"/>
        <v>465.85198681252064</v>
      </c>
      <c r="AI24" s="89">
        <f t="shared" si="34"/>
        <v>465.85711832152066</v>
      </c>
      <c r="AJ24" s="89">
        <f t="shared" si="34"/>
        <v>465.85198681252064</v>
      </c>
      <c r="AK24" s="89">
        <f t="shared" si="34"/>
        <v>5.54</v>
      </c>
      <c r="AL24" s="89">
        <v>5.54</v>
      </c>
      <c r="AM24" s="89">
        <f t="shared" si="34"/>
        <v>0</v>
      </c>
      <c r="AN24" s="89">
        <f t="shared" si="34"/>
        <v>0</v>
      </c>
      <c r="AO24" s="89">
        <f t="shared" si="34"/>
        <v>471.39711832152068</v>
      </c>
      <c r="AP24" s="89">
        <f t="shared" si="34"/>
        <v>471.39198681252066</v>
      </c>
      <c r="AQ24" s="90">
        <f t="shared" si="34"/>
        <v>471.39711832152068</v>
      </c>
      <c r="AR24" s="90">
        <f t="shared" si="34"/>
        <v>471.39198681252066</v>
      </c>
      <c r="AS24" s="90">
        <f t="shared" si="34"/>
        <v>0</v>
      </c>
      <c r="AT24" s="90">
        <v>0</v>
      </c>
      <c r="AU24" s="90">
        <f t="shared" si="34"/>
        <v>0</v>
      </c>
      <c r="AV24" s="90">
        <f t="shared" si="34"/>
        <v>0</v>
      </c>
      <c r="AW24" s="90">
        <f t="shared" si="34"/>
        <v>471.39711832152068</v>
      </c>
      <c r="AX24" s="90">
        <f t="shared" si="34"/>
        <v>471.39198681252066</v>
      </c>
    </row>
    <row r="25" spans="2:50" s="77" customFormat="1" x14ac:dyDescent="0.35">
      <c r="B25" s="70" t="s">
        <v>150</v>
      </c>
      <c r="C25" s="71"/>
      <c r="D25" s="71"/>
      <c r="E25" s="71"/>
      <c r="F25" s="71"/>
      <c r="G25" s="71"/>
      <c r="H25" s="71"/>
      <c r="I25" s="71"/>
      <c r="J25" s="71"/>
      <c r="K25" s="72"/>
      <c r="L25" s="72"/>
      <c r="M25" s="72"/>
      <c r="N25" s="72"/>
      <c r="O25" s="72"/>
      <c r="P25" s="72"/>
      <c r="Q25" s="72"/>
      <c r="R25" s="72"/>
      <c r="S25" s="73"/>
      <c r="T25" s="73"/>
      <c r="U25" s="73"/>
      <c r="V25" s="73"/>
      <c r="W25" s="73"/>
      <c r="X25" s="73"/>
      <c r="Y25" s="73"/>
      <c r="Z25" s="73"/>
      <c r="AA25" s="74"/>
      <c r="AB25" s="74"/>
      <c r="AC25" s="74"/>
      <c r="AD25" s="74"/>
      <c r="AE25" s="74"/>
      <c r="AF25" s="74"/>
      <c r="AG25" s="74"/>
      <c r="AH25" s="74"/>
      <c r="AI25" s="75"/>
      <c r="AJ25" s="75"/>
      <c r="AK25" s="75"/>
      <c r="AL25" s="75"/>
      <c r="AM25" s="75"/>
      <c r="AN25" s="75"/>
      <c r="AO25" s="75"/>
      <c r="AP25" s="75"/>
      <c r="AQ25" s="76"/>
      <c r="AR25" s="76"/>
      <c r="AS25" s="76"/>
      <c r="AT25" s="76"/>
      <c r="AU25" s="76"/>
      <c r="AV25" s="76"/>
      <c r="AW25" s="76"/>
      <c r="AX25" s="76"/>
    </row>
    <row r="26" spans="2:50" x14ac:dyDescent="0.35">
      <c r="B26" s="7" t="s">
        <v>133</v>
      </c>
      <c r="C26" s="78">
        <v>37.686625499999998</v>
      </c>
      <c r="D26" s="78">
        <v>37.686625499999998</v>
      </c>
      <c r="E26" s="78">
        <v>0</v>
      </c>
      <c r="F26" s="78">
        <f>IFERROR(E26/E$43*F$43,0)</f>
        <v>0</v>
      </c>
      <c r="G26" s="78">
        <v>0</v>
      </c>
      <c r="H26" s="78">
        <f>G26</f>
        <v>0</v>
      </c>
      <c r="I26" s="78">
        <f>C26+E26-G26</f>
        <v>37.686625499999998</v>
      </c>
      <c r="J26" s="78">
        <f t="shared" ref="J26:J42" si="35">D26+F26-H26</f>
        <v>37.686625499999998</v>
      </c>
      <c r="K26" s="79">
        <f>I26</f>
        <v>37.686625499999998</v>
      </c>
      <c r="L26" s="79">
        <f t="shared" ref="L26:L42" si="36">J26</f>
        <v>37.686625499999998</v>
      </c>
      <c r="M26" s="79">
        <v>0</v>
      </c>
      <c r="N26" s="79">
        <f>IFERROR(M26/M$43*N$43,0)</f>
        <v>0</v>
      </c>
      <c r="O26" s="79">
        <v>0</v>
      </c>
      <c r="P26" s="79">
        <f>O26</f>
        <v>0</v>
      </c>
      <c r="Q26" s="79">
        <f>K26+M26-O26</f>
        <v>37.686625499999998</v>
      </c>
      <c r="R26" s="79">
        <f t="shared" ref="R26:R42" si="37">L26+N26-P26</f>
        <v>37.686625499999998</v>
      </c>
      <c r="S26" s="80">
        <f>Q26</f>
        <v>37.686625499999998</v>
      </c>
      <c r="T26" s="80">
        <f t="shared" ref="T26:T42" si="38">R26</f>
        <v>37.686625499999998</v>
      </c>
      <c r="U26" s="80">
        <v>14.3153484</v>
      </c>
      <c r="V26" s="80">
        <f>IFERROR(U26/U$43*V$43,0)</f>
        <v>13.135062401156308</v>
      </c>
      <c r="W26" s="80">
        <v>0</v>
      </c>
      <c r="X26" s="80">
        <f>W26</f>
        <v>0</v>
      </c>
      <c r="Y26" s="80">
        <f>S26+U26-W26</f>
        <v>52.001973899999996</v>
      </c>
      <c r="Z26" s="80">
        <f t="shared" ref="Z26:Z42" si="39">T26+V26-X26</f>
        <v>50.821687901156309</v>
      </c>
      <c r="AA26" s="81">
        <f>Y26</f>
        <v>52.001973899999996</v>
      </c>
      <c r="AB26" s="81">
        <f t="shared" ref="AB26:AB42" si="40">Z26</f>
        <v>50.821687901156309</v>
      </c>
      <c r="AC26" s="81">
        <v>0</v>
      </c>
      <c r="AD26" s="81">
        <f>IFERROR(AC26/AC$43*AD$43,0)</f>
        <v>0</v>
      </c>
      <c r="AE26" s="81">
        <v>0</v>
      </c>
      <c r="AF26" s="81">
        <f>AE26</f>
        <v>0</v>
      </c>
      <c r="AG26" s="81">
        <f>AA26+AC26-AE26</f>
        <v>52.001973899999996</v>
      </c>
      <c r="AH26" s="81">
        <f t="shared" ref="AH26:AH42" si="41">AB26+AD26-AF26</f>
        <v>50.821687901156309</v>
      </c>
      <c r="AI26" s="82">
        <f>AG26</f>
        <v>52.001973899999996</v>
      </c>
      <c r="AJ26" s="82">
        <f t="shared" ref="AJ26:AJ42" si="42">AH26</f>
        <v>50.821687901156309</v>
      </c>
      <c r="AK26" s="82">
        <v>0</v>
      </c>
      <c r="AL26" s="82">
        <f>IFERROR(AK26/AK$43*AL$43,0)</f>
        <v>0</v>
      </c>
      <c r="AM26" s="82">
        <v>0</v>
      </c>
      <c r="AN26" s="82">
        <f>AM26</f>
        <v>0</v>
      </c>
      <c r="AO26" s="82">
        <f>AI26+AK26-AM26</f>
        <v>52.001973899999996</v>
      </c>
      <c r="AP26" s="82">
        <f t="shared" ref="AP26:AP42" si="43">AJ26+AL26-AN26</f>
        <v>50.821687901156309</v>
      </c>
      <c r="AQ26" s="83">
        <f>AO26</f>
        <v>52.001973899999996</v>
      </c>
      <c r="AR26" s="83">
        <f t="shared" ref="AR26:AR42" si="44">AP26</f>
        <v>50.821687901156309</v>
      </c>
      <c r="AS26" s="83">
        <v>0</v>
      </c>
      <c r="AT26" s="83">
        <f>IFERROR(AS26/AS$43*AT$43,0)</f>
        <v>0</v>
      </c>
      <c r="AU26" s="83">
        <v>0</v>
      </c>
      <c r="AV26" s="83">
        <f>AU26</f>
        <v>0</v>
      </c>
      <c r="AW26" s="83">
        <f>AQ26+AS26-AU26</f>
        <v>52.001973899999996</v>
      </c>
      <c r="AX26" s="83">
        <f t="shared" ref="AX26:AX42" si="45">AR26+AT26-AV26</f>
        <v>50.821687901156309</v>
      </c>
    </row>
    <row r="27" spans="2:50" x14ac:dyDescent="0.35">
      <c r="B27" s="7" t="s">
        <v>134</v>
      </c>
      <c r="C27" s="78">
        <v>355.21058824799724</v>
      </c>
      <c r="D27" s="78">
        <v>355.21058824799724</v>
      </c>
      <c r="E27" s="78">
        <v>0</v>
      </c>
      <c r="F27" s="78">
        <f t="shared" ref="F27:F42" si="46">IFERROR(E27/E$43*F$43,0)</f>
        <v>0</v>
      </c>
      <c r="G27" s="78">
        <v>0</v>
      </c>
      <c r="H27" s="78">
        <f t="shared" ref="H27:H42" si="47">G27</f>
        <v>0</v>
      </c>
      <c r="I27" s="78">
        <f t="shared" ref="I27:I42" si="48">C27+E27-G27</f>
        <v>355.21058824799724</v>
      </c>
      <c r="J27" s="78">
        <f t="shared" si="35"/>
        <v>355.21058824799724</v>
      </c>
      <c r="K27" s="79">
        <f t="shared" ref="K27:K42" si="49">I27</f>
        <v>355.21058824799724</v>
      </c>
      <c r="L27" s="79">
        <f t="shared" si="36"/>
        <v>355.21058824799724</v>
      </c>
      <c r="M27" s="79">
        <v>40.191806229000001</v>
      </c>
      <c r="N27" s="79">
        <f t="shared" ref="N27:N42" si="50">IFERROR(M27/M$43*N$43,0)</f>
        <v>40.191805931713034</v>
      </c>
      <c r="O27" s="79">
        <v>0</v>
      </c>
      <c r="P27" s="79">
        <f t="shared" ref="P27:P42" si="51">O27</f>
        <v>0</v>
      </c>
      <c r="Q27" s="79">
        <f t="shared" ref="Q27:Q42" si="52">K27+M27-O27</f>
        <v>395.40239447699724</v>
      </c>
      <c r="R27" s="79">
        <f t="shared" si="37"/>
        <v>395.40239417971026</v>
      </c>
      <c r="S27" s="80">
        <f t="shared" ref="S27:S42" si="53">Q27</f>
        <v>395.40239447699724</v>
      </c>
      <c r="T27" s="80">
        <f t="shared" si="38"/>
        <v>395.40239417971026</v>
      </c>
      <c r="U27" s="80">
        <v>43.545063000000006</v>
      </c>
      <c r="V27" s="80">
        <f t="shared" ref="V27:V42" si="54">IFERROR(U27/U$43*V$43,0)</f>
        <v>39.954816591629914</v>
      </c>
      <c r="W27" s="80">
        <v>0</v>
      </c>
      <c r="X27" s="80">
        <f t="shared" ref="X27:X42" si="55">W27</f>
        <v>0</v>
      </c>
      <c r="Y27" s="80">
        <f t="shared" ref="Y27:Y42" si="56">S27+U27-W27</f>
        <v>438.94745747699727</v>
      </c>
      <c r="Z27" s="80">
        <f t="shared" si="39"/>
        <v>435.35721077134019</v>
      </c>
      <c r="AA27" s="81">
        <f t="shared" ref="AA27:AA42" si="57">Y27</f>
        <v>438.94745747699727</v>
      </c>
      <c r="AB27" s="81">
        <f t="shared" si="40"/>
        <v>435.35721077134019</v>
      </c>
      <c r="AC27" s="81">
        <v>0</v>
      </c>
      <c r="AD27" s="81">
        <f t="shared" ref="AD27:AD42" si="58">IFERROR(AC27/AC$43*AD$43,0)</f>
        <v>0</v>
      </c>
      <c r="AE27" s="81">
        <v>0</v>
      </c>
      <c r="AF27" s="81">
        <f t="shared" ref="AF27:AF42" si="59">AE27</f>
        <v>0</v>
      </c>
      <c r="AG27" s="81">
        <f t="shared" ref="AG27:AG42" si="60">AA27+AC27-AE27</f>
        <v>438.94745747699727</v>
      </c>
      <c r="AH27" s="81">
        <f t="shared" si="41"/>
        <v>435.35721077134019</v>
      </c>
      <c r="AI27" s="82">
        <f t="shared" ref="AI27:AI42" si="61">AG27</f>
        <v>438.94745747699727</v>
      </c>
      <c r="AJ27" s="82">
        <f t="shared" si="42"/>
        <v>435.35721077134019</v>
      </c>
      <c r="AK27" s="82">
        <v>0</v>
      </c>
      <c r="AL27" s="82">
        <f t="shared" ref="AL27:AL42" si="62">IFERROR(AK27/AK$43*AL$43,0)</f>
        <v>0</v>
      </c>
      <c r="AM27" s="82">
        <v>0</v>
      </c>
      <c r="AN27" s="82">
        <f t="shared" ref="AN27:AN42" si="63">AM27</f>
        <v>0</v>
      </c>
      <c r="AO27" s="82">
        <f t="shared" ref="AO27:AO42" si="64">AI27+AK27-AM27</f>
        <v>438.94745747699727</v>
      </c>
      <c r="AP27" s="82">
        <f t="shared" si="43"/>
        <v>435.35721077134019</v>
      </c>
      <c r="AQ27" s="83">
        <f t="shared" ref="AQ27:AQ42" si="65">AO27</f>
        <v>438.94745747699727</v>
      </c>
      <c r="AR27" s="83">
        <f t="shared" si="44"/>
        <v>435.35721077134019</v>
      </c>
      <c r="AS27" s="83">
        <v>0</v>
      </c>
      <c r="AT27" s="83">
        <f t="shared" ref="AT27:AT42" si="66">IFERROR(AS27/AS$43*AT$43,0)</f>
        <v>0</v>
      </c>
      <c r="AU27" s="83">
        <v>0</v>
      </c>
      <c r="AV27" s="83">
        <f t="shared" ref="AV27:AV42" si="67">AU27</f>
        <v>0</v>
      </c>
      <c r="AW27" s="83">
        <f t="shared" ref="AW27:AW42" si="68">AQ27+AS27-AU27</f>
        <v>438.94745747699727</v>
      </c>
      <c r="AX27" s="83">
        <f t="shared" si="45"/>
        <v>435.35721077134019</v>
      </c>
    </row>
    <row r="28" spans="2:50" ht="31" x14ac:dyDescent="0.35">
      <c r="B28" s="84" t="s">
        <v>135</v>
      </c>
      <c r="C28" s="78">
        <v>0</v>
      </c>
      <c r="D28" s="78">
        <v>0</v>
      </c>
      <c r="E28" s="78">
        <v>0</v>
      </c>
      <c r="F28" s="78">
        <f t="shared" si="46"/>
        <v>0</v>
      </c>
      <c r="G28" s="78">
        <v>0</v>
      </c>
      <c r="H28" s="78">
        <f t="shared" si="47"/>
        <v>0</v>
      </c>
      <c r="I28" s="78">
        <f t="shared" si="48"/>
        <v>0</v>
      </c>
      <c r="J28" s="78">
        <f t="shared" si="35"/>
        <v>0</v>
      </c>
      <c r="K28" s="79">
        <f t="shared" si="49"/>
        <v>0</v>
      </c>
      <c r="L28" s="79">
        <f t="shared" si="36"/>
        <v>0</v>
      </c>
      <c r="M28" s="79">
        <v>0</v>
      </c>
      <c r="N28" s="79">
        <f t="shared" si="50"/>
        <v>0</v>
      </c>
      <c r="O28" s="79">
        <v>0</v>
      </c>
      <c r="P28" s="79">
        <f t="shared" si="51"/>
        <v>0</v>
      </c>
      <c r="Q28" s="79">
        <f t="shared" si="52"/>
        <v>0</v>
      </c>
      <c r="R28" s="79">
        <f t="shared" si="37"/>
        <v>0</v>
      </c>
      <c r="S28" s="80">
        <f t="shared" si="53"/>
        <v>0</v>
      </c>
      <c r="T28" s="80">
        <f t="shared" si="38"/>
        <v>0</v>
      </c>
      <c r="U28" s="80">
        <v>0</v>
      </c>
      <c r="V28" s="80">
        <f t="shared" si="54"/>
        <v>0</v>
      </c>
      <c r="W28" s="80">
        <v>0</v>
      </c>
      <c r="X28" s="80">
        <f t="shared" si="55"/>
        <v>0</v>
      </c>
      <c r="Y28" s="80">
        <f t="shared" si="56"/>
        <v>0</v>
      </c>
      <c r="Z28" s="80">
        <f t="shared" si="39"/>
        <v>0</v>
      </c>
      <c r="AA28" s="81">
        <f t="shared" si="57"/>
        <v>0</v>
      </c>
      <c r="AB28" s="81">
        <f t="shared" si="40"/>
        <v>0</v>
      </c>
      <c r="AC28" s="81">
        <v>0</v>
      </c>
      <c r="AD28" s="81">
        <f t="shared" si="58"/>
        <v>0</v>
      </c>
      <c r="AE28" s="81">
        <v>0</v>
      </c>
      <c r="AF28" s="81">
        <f t="shared" si="59"/>
        <v>0</v>
      </c>
      <c r="AG28" s="81">
        <f t="shared" si="60"/>
        <v>0</v>
      </c>
      <c r="AH28" s="81">
        <f t="shared" si="41"/>
        <v>0</v>
      </c>
      <c r="AI28" s="82">
        <f t="shared" si="61"/>
        <v>0</v>
      </c>
      <c r="AJ28" s="82">
        <f t="shared" si="42"/>
        <v>0</v>
      </c>
      <c r="AK28" s="82">
        <v>0</v>
      </c>
      <c r="AL28" s="82">
        <f t="shared" si="62"/>
        <v>0</v>
      </c>
      <c r="AM28" s="82">
        <v>0</v>
      </c>
      <c r="AN28" s="82">
        <f t="shared" si="63"/>
        <v>0</v>
      </c>
      <c r="AO28" s="82">
        <f t="shared" si="64"/>
        <v>0</v>
      </c>
      <c r="AP28" s="82">
        <f t="shared" si="43"/>
        <v>0</v>
      </c>
      <c r="AQ28" s="83">
        <f t="shared" si="65"/>
        <v>0</v>
      </c>
      <c r="AR28" s="83">
        <f t="shared" si="44"/>
        <v>0</v>
      </c>
      <c r="AS28" s="83">
        <v>0</v>
      </c>
      <c r="AT28" s="83">
        <f t="shared" si="66"/>
        <v>0</v>
      </c>
      <c r="AU28" s="83">
        <v>0</v>
      </c>
      <c r="AV28" s="83">
        <f t="shared" si="67"/>
        <v>0</v>
      </c>
      <c r="AW28" s="83">
        <f t="shared" si="68"/>
        <v>0</v>
      </c>
      <c r="AX28" s="83">
        <f t="shared" si="45"/>
        <v>0</v>
      </c>
    </row>
    <row r="29" spans="2:50" x14ac:dyDescent="0.35">
      <c r="B29" s="7" t="s">
        <v>136</v>
      </c>
      <c r="C29" s="78">
        <v>339.77649120094276</v>
      </c>
      <c r="D29" s="78">
        <v>339.77649120094276</v>
      </c>
      <c r="E29" s="78">
        <v>0</v>
      </c>
      <c r="F29" s="78">
        <f t="shared" si="46"/>
        <v>0</v>
      </c>
      <c r="G29" s="78">
        <v>0</v>
      </c>
      <c r="H29" s="78">
        <f t="shared" si="47"/>
        <v>0</v>
      </c>
      <c r="I29" s="78">
        <f t="shared" si="48"/>
        <v>339.77649120094276</v>
      </c>
      <c r="J29" s="78">
        <f t="shared" si="35"/>
        <v>339.77649120094276</v>
      </c>
      <c r="K29" s="79">
        <f t="shared" si="49"/>
        <v>339.77649120094276</v>
      </c>
      <c r="L29" s="79">
        <f t="shared" si="36"/>
        <v>339.77649120094276</v>
      </c>
      <c r="M29" s="79">
        <v>5.1800498630000007</v>
      </c>
      <c r="N29" s="79">
        <f t="shared" si="50"/>
        <v>5.180049824684696</v>
      </c>
      <c r="O29" s="79">
        <v>0</v>
      </c>
      <c r="P29" s="79">
        <f t="shared" si="51"/>
        <v>0</v>
      </c>
      <c r="Q29" s="79">
        <f t="shared" si="52"/>
        <v>344.95654106394278</v>
      </c>
      <c r="R29" s="79">
        <f t="shared" si="37"/>
        <v>344.95654102562747</v>
      </c>
      <c r="S29" s="80">
        <f t="shared" si="53"/>
        <v>344.95654106394278</v>
      </c>
      <c r="T29" s="80">
        <f t="shared" si="38"/>
        <v>344.95654102562747</v>
      </c>
      <c r="U29" s="80">
        <v>2.6685888250000001</v>
      </c>
      <c r="V29" s="80">
        <f t="shared" si="54"/>
        <v>2.4485663750526245</v>
      </c>
      <c r="W29" s="80">
        <v>0</v>
      </c>
      <c r="X29" s="80">
        <f t="shared" si="55"/>
        <v>0</v>
      </c>
      <c r="Y29" s="80">
        <f t="shared" si="56"/>
        <v>347.62512988894275</v>
      </c>
      <c r="Z29" s="80">
        <f t="shared" si="39"/>
        <v>347.40510740068009</v>
      </c>
      <c r="AA29" s="81">
        <f t="shared" si="57"/>
        <v>347.62512988894275</v>
      </c>
      <c r="AB29" s="81">
        <f t="shared" si="40"/>
        <v>347.40510740068009</v>
      </c>
      <c r="AC29" s="81">
        <v>0</v>
      </c>
      <c r="AD29" s="81">
        <f t="shared" si="58"/>
        <v>0</v>
      </c>
      <c r="AE29" s="81">
        <v>0</v>
      </c>
      <c r="AF29" s="81">
        <f t="shared" si="59"/>
        <v>0</v>
      </c>
      <c r="AG29" s="81">
        <f t="shared" si="60"/>
        <v>347.62512988894275</v>
      </c>
      <c r="AH29" s="81">
        <f t="shared" si="41"/>
        <v>347.40510740068009</v>
      </c>
      <c r="AI29" s="82">
        <f t="shared" si="61"/>
        <v>347.62512988894275</v>
      </c>
      <c r="AJ29" s="82">
        <f t="shared" si="42"/>
        <v>347.40510740068009</v>
      </c>
      <c r="AK29" s="82">
        <v>0</v>
      </c>
      <c r="AL29" s="82">
        <f t="shared" si="62"/>
        <v>0</v>
      </c>
      <c r="AM29" s="82">
        <v>0</v>
      </c>
      <c r="AN29" s="82">
        <f t="shared" si="63"/>
        <v>0</v>
      </c>
      <c r="AO29" s="82">
        <f t="shared" si="64"/>
        <v>347.62512988894275</v>
      </c>
      <c r="AP29" s="82">
        <f t="shared" si="43"/>
        <v>347.40510740068009</v>
      </c>
      <c r="AQ29" s="83">
        <f t="shared" si="65"/>
        <v>347.62512988894275</v>
      </c>
      <c r="AR29" s="83">
        <f t="shared" si="44"/>
        <v>347.40510740068009</v>
      </c>
      <c r="AS29" s="83">
        <v>0</v>
      </c>
      <c r="AT29" s="83">
        <f t="shared" si="66"/>
        <v>0</v>
      </c>
      <c r="AU29" s="83">
        <v>0</v>
      </c>
      <c r="AV29" s="83">
        <f t="shared" si="67"/>
        <v>0</v>
      </c>
      <c r="AW29" s="83">
        <f t="shared" si="68"/>
        <v>347.62512988894275</v>
      </c>
      <c r="AX29" s="83">
        <f t="shared" si="45"/>
        <v>347.40510740068009</v>
      </c>
    </row>
    <row r="30" spans="2:50" x14ac:dyDescent="0.35">
      <c r="B30" s="7" t="s">
        <v>137</v>
      </c>
      <c r="C30" s="78">
        <v>221.06417251710383</v>
      </c>
      <c r="D30" s="78">
        <v>221.06417251710383</v>
      </c>
      <c r="E30" s="78">
        <v>0</v>
      </c>
      <c r="F30" s="78">
        <f t="shared" si="46"/>
        <v>0</v>
      </c>
      <c r="G30" s="78">
        <v>0</v>
      </c>
      <c r="H30" s="78">
        <f t="shared" si="47"/>
        <v>0</v>
      </c>
      <c r="I30" s="78">
        <f t="shared" si="48"/>
        <v>221.06417251710383</v>
      </c>
      <c r="J30" s="78">
        <f t="shared" si="35"/>
        <v>221.06417251710383</v>
      </c>
      <c r="K30" s="79">
        <f t="shared" si="49"/>
        <v>221.06417251710383</v>
      </c>
      <c r="L30" s="79">
        <f t="shared" si="36"/>
        <v>221.06417251710383</v>
      </c>
      <c r="M30" s="79">
        <v>0.78679396900000009</v>
      </c>
      <c r="N30" s="79">
        <f t="shared" si="50"/>
        <v>0.78679396318031658</v>
      </c>
      <c r="O30" s="79">
        <v>0</v>
      </c>
      <c r="P30" s="79">
        <f t="shared" si="51"/>
        <v>0</v>
      </c>
      <c r="Q30" s="79">
        <f t="shared" si="52"/>
        <v>221.85096648610383</v>
      </c>
      <c r="R30" s="79">
        <f t="shared" si="37"/>
        <v>221.85096648028414</v>
      </c>
      <c r="S30" s="80">
        <f t="shared" si="53"/>
        <v>221.85096648610383</v>
      </c>
      <c r="T30" s="80">
        <f t="shared" si="38"/>
        <v>221.85096648028414</v>
      </c>
      <c r="U30" s="80">
        <v>11.121319174</v>
      </c>
      <c r="V30" s="80">
        <f t="shared" si="54"/>
        <v>10.204377654802039</v>
      </c>
      <c r="W30" s="80">
        <v>0</v>
      </c>
      <c r="X30" s="80">
        <f t="shared" si="55"/>
        <v>0</v>
      </c>
      <c r="Y30" s="80">
        <f t="shared" si="56"/>
        <v>232.97228566010384</v>
      </c>
      <c r="Z30" s="80">
        <f t="shared" si="39"/>
        <v>232.05534413508619</v>
      </c>
      <c r="AA30" s="81">
        <f t="shared" si="57"/>
        <v>232.97228566010384</v>
      </c>
      <c r="AB30" s="81">
        <f t="shared" si="40"/>
        <v>232.05534413508619</v>
      </c>
      <c r="AC30" s="81">
        <v>0</v>
      </c>
      <c r="AD30" s="81">
        <f t="shared" si="58"/>
        <v>0</v>
      </c>
      <c r="AE30" s="81">
        <v>0</v>
      </c>
      <c r="AF30" s="81">
        <f t="shared" si="59"/>
        <v>0</v>
      </c>
      <c r="AG30" s="81">
        <f t="shared" si="60"/>
        <v>232.97228566010384</v>
      </c>
      <c r="AH30" s="81">
        <f t="shared" si="41"/>
        <v>232.05534413508619</v>
      </c>
      <c r="AI30" s="82">
        <f t="shared" si="61"/>
        <v>232.97228566010384</v>
      </c>
      <c r="AJ30" s="82">
        <f t="shared" si="42"/>
        <v>232.05534413508619</v>
      </c>
      <c r="AK30" s="82">
        <v>0</v>
      </c>
      <c r="AL30" s="82">
        <f t="shared" si="62"/>
        <v>0</v>
      </c>
      <c r="AM30" s="82">
        <v>0</v>
      </c>
      <c r="AN30" s="82">
        <f t="shared" si="63"/>
        <v>0</v>
      </c>
      <c r="AO30" s="82">
        <f t="shared" si="64"/>
        <v>232.97228566010384</v>
      </c>
      <c r="AP30" s="82">
        <f t="shared" si="43"/>
        <v>232.05534413508619</v>
      </c>
      <c r="AQ30" s="83">
        <f t="shared" si="65"/>
        <v>232.97228566010384</v>
      </c>
      <c r="AR30" s="83">
        <f t="shared" si="44"/>
        <v>232.05534413508619</v>
      </c>
      <c r="AS30" s="83">
        <v>0</v>
      </c>
      <c r="AT30" s="83">
        <f t="shared" si="66"/>
        <v>0</v>
      </c>
      <c r="AU30" s="83">
        <v>0</v>
      </c>
      <c r="AV30" s="83">
        <f t="shared" si="67"/>
        <v>0</v>
      </c>
      <c r="AW30" s="83">
        <f t="shared" si="68"/>
        <v>232.97228566010384</v>
      </c>
      <c r="AX30" s="83">
        <f t="shared" si="45"/>
        <v>232.05534413508619</v>
      </c>
    </row>
    <row r="31" spans="2:50" x14ac:dyDescent="0.35">
      <c r="B31" s="7" t="s">
        <v>138</v>
      </c>
      <c r="C31" s="78">
        <v>2654.4630031354054</v>
      </c>
      <c r="D31" s="78">
        <v>2654.4630031354054</v>
      </c>
      <c r="E31" s="78">
        <v>51.630676839000003</v>
      </c>
      <c r="F31" s="78">
        <f t="shared" si="46"/>
        <v>51.626667952242578</v>
      </c>
      <c r="G31" s="78">
        <v>0</v>
      </c>
      <c r="H31" s="78">
        <f t="shared" si="47"/>
        <v>0</v>
      </c>
      <c r="I31" s="78">
        <f t="shared" si="48"/>
        <v>2706.0936799744054</v>
      </c>
      <c r="J31" s="78">
        <f t="shared" si="35"/>
        <v>2706.0896710876482</v>
      </c>
      <c r="K31" s="79">
        <f t="shared" si="49"/>
        <v>2706.0936799744054</v>
      </c>
      <c r="L31" s="79">
        <f t="shared" si="36"/>
        <v>2706.0896710876482</v>
      </c>
      <c r="M31" s="79">
        <v>12.981004482000001</v>
      </c>
      <c r="N31" s="79">
        <f t="shared" si="50"/>
        <v>12.981004385983329</v>
      </c>
      <c r="O31" s="79">
        <v>0</v>
      </c>
      <c r="P31" s="79">
        <f t="shared" si="51"/>
        <v>0</v>
      </c>
      <c r="Q31" s="79">
        <f t="shared" si="52"/>
        <v>2719.0746844564055</v>
      </c>
      <c r="R31" s="79">
        <f t="shared" si="37"/>
        <v>2719.0706754736316</v>
      </c>
      <c r="S31" s="80">
        <f t="shared" si="53"/>
        <v>2719.0746844564055</v>
      </c>
      <c r="T31" s="80">
        <f t="shared" si="38"/>
        <v>2719.0706754736316</v>
      </c>
      <c r="U31" s="80">
        <v>324.72251182699983</v>
      </c>
      <c r="V31" s="80">
        <f t="shared" si="54"/>
        <v>297.94946911022157</v>
      </c>
      <c r="W31" s="80">
        <v>3.5476394999999998</v>
      </c>
      <c r="X31" s="80">
        <f t="shared" si="55"/>
        <v>3.5476394999999998</v>
      </c>
      <c r="Y31" s="80">
        <f t="shared" si="56"/>
        <v>3040.2495567834053</v>
      </c>
      <c r="Z31" s="80">
        <f t="shared" si="39"/>
        <v>3013.4725050838529</v>
      </c>
      <c r="AA31" s="81">
        <f t="shared" si="57"/>
        <v>3040.2495567834053</v>
      </c>
      <c r="AB31" s="81">
        <f t="shared" si="40"/>
        <v>3013.4725050838529</v>
      </c>
      <c r="AC31" s="81">
        <v>211.89</v>
      </c>
      <c r="AD31" s="81">
        <f t="shared" si="58"/>
        <v>199.16859312299999</v>
      </c>
      <c r="AE31" s="81">
        <v>0</v>
      </c>
      <c r="AF31" s="81">
        <f t="shared" si="59"/>
        <v>0</v>
      </c>
      <c r="AG31" s="81">
        <f t="shared" si="60"/>
        <v>3252.1395567834052</v>
      </c>
      <c r="AH31" s="81">
        <f t="shared" si="41"/>
        <v>3212.6410982068528</v>
      </c>
      <c r="AI31" s="82">
        <f t="shared" si="61"/>
        <v>3252.1395567834052</v>
      </c>
      <c r="AJ31" s="82">
        <f t="shared" si="42"/>
        <v>3212.6410982068528</v>
      </c>
      <c r="AK31" s="82">
        <v>411.92</v>
      </c>
      <c r="AL31" s="82">
        <f t="shared" si="62"/>
        <v>149.45147759999998</v>
      </c>
      <c r="AM31" s="82">
        <v>0</v>
      </c>
      <c r="AN31" s="82">
        <f t="shared" si="63"/>
        <v>0</v>
      </c>
      <c r="AO31" s="82">
        <f t="shared" si="64"/>
        <v>3664.0595567834052</v>
      </c>
      <c r="AP31" s="82">
        <f t="shared" si="43"/>
        <v>3362.0925758068529</v>
      </c>
      <c r="AQ31" s="83">
        <f t="shared" si="65"/>
        <v>3664.0595567834052</v>
      </c>
      <c r="AR31" s="83">
        <f t="shared" si="44"/>
        <v>3362.0925758068529</v>
      </c>
      <c r="AS31" s="83">
        <v>1710.56</v>
      </c>
      <c r="AT31" s="83">
        <f t="shared" si="66"/>
        <v>920.42908907900005</v>
      </c>
      <c r="AU31" s="83">
        <v>0</v>
      </c>
      <c r="AV31" s="83">
        <f t="shared" si="67"/>
        <v>0</v>
      </c>
      <c r="AW31" s="83">
        <f t="shared" si="68"/>
        <v>5374.6195567834056</v>
      </c>
      <c r="AX31" s="83">
        <f t="shared" si="45"/>
        <v>4282.5216648858532</v>
      </c>
    </row>
    <row r="32" spans="2:50" x14ac:dyDescent="0.35">
      <c r="B32" s="7" t="s">
        <v>139</v>
      </c>
      <c r="C32" s="78">
        <v>0</v>
      </c>
      <c r="D32" s="78">
        <v>0</v>
      </c>
      <c r="E32" s="78">
        <v>0</v>
      </c>
      <c r="F32" s="78">
        <f t="shared" si="46"/>
        <v>0</v>
      </c>
      <c r="G32" s="78">
        <v>0</v>
      </c>
      <c r="H32" s="78">
        <f t="shared" si="47"/>
        <v>0</v>
      </c>
      <c r="I32" s="78">
        <f t="shared" si="48"/>
        <v>0</v>
      </c>
      <c r="J32" s="78">
        <f t="shared" si="35"/>
        <v>0</v>
      </c>
      <c r="K32" s="79">
        <f t="shared" si="49"/>
        <v>0</v>
      </c>
      <c r="L32" s="79">
        <f t="shared" si="36"/>
        <v>0</v>
      </c>
      <c r="M32" s="79">
        <v>0</v>
      </c>
      <c r="N32" s="79">
        <f t="shared" si="50"/>
        <v>0</v>
      </c>
      <c r="O32" s="79">
        <v>0</v>
      </c>
      <c r="P32" s="79">
        <f t="shared" si="51"/>
        <v>0</v>
      </c>
      <c r="Q32" s="79">
        <f t="shared" si="52"/>
        <v>0</v>
      </c>
      <c r="R32" s="79">
        <f t="shared" si="37"/>
        <v>0</v>
      </c>
      <c r="S32" s="80">
        <f t="shared" si="53"/>
        <v>0</v>
      </c>
      <c r="T32" s="80">
        <f t="shared" si="38"/>
        <v>0</v>
      </c>
      <c r="U32" s="80">
        <v>0</v>
      </c>
      <c r="V32" s="80">
        <f t="shared" si="54"/>
        <v>0</v>
      </c>
      <c r="W32" s="80">
        <v>0</v>
      </c>
      <c r="X32" s="80">
        <f t="shared" si="55"/>
        <v>0</v>
      </c>
      <c r="Y32" s="80">
        <f t="shared" si="56"/>
        <v>0</v>
      </c>
      <c r="Z32" s="80">
        <f t="shared" si="39"/>
        <v>0</v>
      </c>
      <c r="AA32" s="81">
        <f t="shared" si="57"/>
        <v>0</v>
      </c>
      <c r="AB32" s="81">
        <f t="shared" si="40"/>
        <v>0</v>
      </c>
      <c r="AC32" s="81">
        <v>0</v>
      </c>
      <c r="AD32" s="81">
        <f t="shared" si="58"/>
        <v>0</v>
      </c>
      <c r="AE32" s="81">
        <v>0</v>
      </c>
      <c r="AF32" s="81">
        <f t="shared" si="59"/>
        <v>0</v>
      </c>
      <c r="AG32" s="81">
        <f t="shared" si="60"/>
        <v>0</v>
      </c>
      <c r="AH32" s="81">
        <f t="shared" si="41"/>
        <v>0</v>
      </c>
      <c r="AI32" s="82">
        <f t="shared" si="61"/>
        <v>0</v>
      </c>
      <c r="AJ32" s="82">
        <f t="shared" si="42"/>
        <v>0</v>
      </c>
      <c r="AK32" s="82">
        <v>0</v>
      </c>
      <c r="AL32" s="82">
        <f t="shared" si="62"/>
        <v>0</v>
      </c>
      <c r="AM32" s="82">
        <v>0</v>
      </c>
      <c r="AN32" s="82">
        <f t="shared" si="63"/>
        <v>0</v>
      </c>
      <c r="AO32" s="82">
        <f t="shared" si="64"/>
        <v>0</v>
      </c>
      <c r="AP32" s="82">
        <f t="shared" si="43"/>
        <v>0</v>
      </c>
      <c r="AQ32" s="83">
        <f t="shared" si="65"/>
        <v>0</v>
      </c>
      <c r="AR32" s="83">
        <f t="shared" si="44"/>
        <v>0</v>
      </c>
      <c r="AS32" s="83">
        <v>0</v>
      </c>
      <c r="AT32" s="83">
        <f t="shared" si="66"/>
        <v>0</v>
      </c>
      <c r="AU32" s="83">
        <v>0</v>
      </c>
      <c r="AV32" s="83">
        <f t="shared" si="67"/>
        <v>0</v>
      </c>
      <c r="AW32" s="83">
        <f t="shared" si="68"/>
        <v>0</v>
      </c>
      <c r="AX32" s="83">
        <f t="shared" si="45"/>
        <v>0</v>
      </c>
    </row>
    <row r="33" spans="2:50" x14ac:dyDescent="0.35">
      <c r="B33" s="7" t="s">
        <v>140</v>
      </c>
      <c r="C33" s="78">
        <v>0</v>
      </c>
      <c r="D33" s="78">
        <v>0</v>
      </c>
      <c r="E33" s="78">
        <v>0</v>
      </c>
      <c r="F33" s="78">
        <f t="shared" si="46"/>
        <v>0</v>
      </c>
      <c r="G33" s="78">
        <v>0</v>
      </c>
      <c r="H33" s="78">
        <f t="shared" si="47"/>
        <v>0</v>
      </c>
      <c r="I33" s="78">
        <f t="shared" si="48"/>
        <v>0</v>
      </c>
      <c r="J33" s="78">
        <f t="shared" si="35"/>
        <v>0</v>
      </c>
      <c r="K33" s="79">
        <f t="shared" si="49"/>
        <v>0</v>
      </c>
      <c r="L33" s="79">
        <f t="shared" si="36"/>
        <v>0</v>
      </c>
      <c r="M33" s="79">
        <v>0</v>
      </c>
      <c r="N33" s="79">
        <f t="shared" si="50"/>
        <v>0</v>
      </c>
      <c r="O33" s="79">
        <v>0</v>
      </c>
      <c r="P33" s="79">
        <f t="shared" si="51"/>
        <v>0</v>
      </c>
      <c r="Q33" s="79">
        <f t="shared" si="52"/>
        <v>0</v>
      </c>
      <c r="R33" s="79">
        <f t="shared" si="37"/>
        <v>0</v>
      </c>
      <c r="S33" s="80">
        <f t="shared" si="53"/>
        <v>0</v>
      </c>
      <c r="T33" s="80">
        <f t="shared" si="38"/>
        <v>0</v>
      </c>
      <c r="U33" s="80">
        <v>0</v>
      </c>
      <c r="V33" s="80">
        <f t="shared" si="54"/>
        <v>0</v>
      </c>
      <c r="W33" s="80">
        <v>0</v>
      </c>
      <c r="X33" s="80">
        <f t="shared" si="55"/>
        <v>0</v>
      </c>
      <c r="Y33" s="80">
        <f t="shared" si="56"/>
        <v>0</v>
      </c>
      <c r="Z33" s="80">
        <f t="shared" si="39"/>
        <v>0</v>
      </c>
      <c r="AA33" s="81">
        <f t="shared" si="57"/>
        <v>0</v>
      </c>
      <c r="AB33" s="81">
        <f t="shared" si="40"/>
        <v>0</v>
      </c>
      <c r="AC33" s="81">
        <v>0</v>
      </c>
      <c r="AD33" s="81">
        <f t="shared" si="58"/>
        <v>0</v>
      </c>
      <c r="AE33" s="81">
        <v>0</v>
      </c>
      <c r="AF33" s="81">
        <f t="shared" si="59"/>
        <v>0</v>
      </c>
      <c r="AG33" s="81">
        <f t="shared" si="60"/>
        <v>0</v>
      </c>
      <c r="AH33" s="81">
        <f t="shared" si="41"/>
        <v>0</v>
      </c>
      <c r="AI33" s="82">
        <f t="shared" si="61"/>
        <v>0</v>
      </c>
      <c r="AJ33" s="82">
        <f t="shared" si="42"/>
        <v>0</v>
      </c>
      <c r="AK33" s="82">
        <v>0</v>
      </c>
      <c r="AL33" s="82">
        <f t="shared" si="62"/>
        <v>0</v>
      </c>
      <c r="AM33" s="82">
        <v>0</v>
      </c>
      <c r="AN33" s="82">
        <f t="shared" si="63"/>
        <v>0</v>
      </c>
      <c r="AO33" s="82">
        <f t="shared" si="64"/>
        <v>0</v>
      </c>
      <c r="AP33" s="82">
        <f t="shared" si="43"/>
        <v>0</v>
      </c>
      <c r="AQ33" s="83">
        <f t="shared" si="65"/>
        <v>0</v>
      </c>
      <c r="AR33" s="83">
        <f t="shared" si="44"/>
        <v>0</v>
      </c>
      <c r="AS33" s="83">
        <v>0</v>
      </c>
      <c r="AT33" s="83">
        <f t="shared" si="66"/>
        <v>0</v>
      </c>
      <c r="AU33" s="83">
        <v>0</v>
      </c>
      <c r="AV33" s="83">
        <f t="shared" si="67"/>
        <v>0</v>
      </c>
      <c r="AW33" s="83">
        <f t="shared" si="68"/>
        <v>0</v>
      </c>
      <c r="AX33" s="83">
        <f t="shared" si="45"/>
        <v>0</v>
      </c>
    </row>
    <row r="34" spans="2:50" x14ac:dyDescent="0.35">
      <c r="B34" s="7" t="s">
        <v>141</v>
      </c>
      <c r="C34" s="78">
        <v>118.10088485300545</v>
      </c>
      <c r="D34" s="78">
        <v>118.10088485300545</v>
      </c>
      <c r="E34" s="78">
        <v>0</v>
      </c>
      <c r="F34" s="78">
        <f t="shared" si="46"/>
        <v>0</v>
      </c>
      <c r="G34" s="78">
        <v>0</v>
      </c>
      <c r="H34" s="78">
        <f t="shared" si="47"/>
        <v>0</v>
      </c>
      <c r="I34" s="78">
        <f t="shared" si="48"/>
        <v>118.10088485300545</v>
      </c>
      <c r="J34" s="78">
        <f t="shared" si="35"/>
        <v>118.10088485300545</v>
      </c>
      <c r="K34" s="79">
        <f t="shared" si="49"/>
        <v>118.10088485300545</v>
      </c>
      <c r="L34" s="79">
        <f t="shared" si="36"/>
        <v>118.10088485300545</v>
      </c>
      <c r="M34" s="79">
        <v>0</v>
      </c>
      <c r="N34" s="79">
        <f t="shared" si="50"/>
        <v>0</v>
      </c>
      <c r="O34" s="79">
        <v>0</v>
      </c>
      <c r="P34" s="79">
        <f t="shared" si="51"/>
        <v>0</v>
      </c>
      <c r="Q34" s="79">
        <f t="shared" si="52"/>
        <v>118.10088485300545</v>
      </c>
      <c r="R34" s="79">
        <f t="shared" si="37"/>
        <v>118.10088485300545</v>
      </c>
      <c r="S34" s="80">
        <f t="shared" si="53"/>
        <v>118.10088485300545</v>
      </c>
      <c r="T34" s="80">
        <f t="shared" si="38"/>
        <v>118.10088485300545</v>
      </c>
      <c r="U34" s="80">
        <v>0</v>
      </c>
      <c r="V34" s="80">
        <f t="shared" si="54"/>
        <v>0</v>
      </c>
      <c r="W34" s="80">
        <v>0</v>
      </c>
      <c r="X34" s="80">
        <f t="shared" si="55"/>
        <v>0</v>
      </c>
      <c r="Y34" s="80">
        <f t="shared" si="56"/>
        <v>118.10088485300545</v>
      </c>
      <c r="Z34" s="80">
        <f t="shared" si="39"/>
        <v>118.10088485300545</v>
      </c>
      <c r="AA34" s="81">
        <f t="shared" si="57"/>
        <v>118.10088485300545</v>
      </c>
      <c r="AB34" s="81">
        <f t="shared" si="40"/>
        <v>118.10088485300545</v>
      </c>
      <c r="AC34" s="81">
        <v>0</v>
      </c>
      <c r="AD34" s="81">
        <f t="shared" si="58"/>
        <v>0</v>
      </c>
      <c r="AE34" s="81">
        <v>0</v>
      </c>
      <c r="AF34" s="81">
        <f t="shared" si="59"/>
        <v>0</v>
      </c>
      <c r="AG34" s="81">
        <f t="shared" si="60"/>
        <v>118.10088485300545</v>
      </c>
      <c r="AH34" s="81">
        <f t="shared" si="41"/>
        <v>118.10088485300545</v>
      </c>
      <c r="AI34" s="82">
        <f t="shared" si="61"/>
        <v>118.10088485300545</v>
      </c>
      <c r="AJ34" s="82">
        <f t="shared" si="42"/>
        <v>118.10088485300545</v>
      </c>
      <c r="AK34" s="82">
        <v>0</v>
      </c>
      <c r="AL34" s="82">
        <f t="shared" si="62"/>
        <v>0</v>
      </c>
      <c r="AM34" s="82">
        <v>0</v>
      </c>
      <c r="AN34" s="82">
        <f t="shared" si="63"/>
        <v>0</v>
      </c>
      <c r="AO34" s="82">
        <f t="shared" si="64"/>
        <v>118.10088485300545</v>
      </c>
      <c r="AP34" s="82">
        <f t="shared" si="43"/>
        <v>118.10088485300545</v>
      </c>
      <c r="AQ34" s="83">
        <f t="shared" si="65"/>
        <v>118.10088485300545</v>
      </c>
      <c r="AR34" s="83">
        <f t="shared" si="44"/>
        <v>118.10088485300545</v>
      </c>
      <c r="AS34" s="83">
        <v>0</v>
      </c>
      <c r="AT34" s="83">
        <f t="shared" si="66"/>
        <v>0</v>
      </c>
      <c r="AU34" s="83">
        <v>0</v>
      </c>
      <c r="AV34" s="83">
        <f t="shared" si="67"/>
        <v>0</v>
      </c>
      <c r="AW34" s="83">
        <f t="shared" si="68"/>
        <v>118.10088485300545</v>
      </c>
      <c r="AX34" s="83">
        <f t="shared" si="45"/>
        <v>118.10088485300545</v>
      </c>
    </row>
    <row r="35" spans="2:50" x14ac:dyDescent="0.35">
      <c r="B35" s="7" t="s">
        <v>142</v>
      </c>
      <c r="C35" s="78">
        <v>1.4735980717499835</v>
      </c>
      <c r="D35" s="78">
        <v>1.4735980717499835</v>
      </c>
      <c r="E35" s="78">
        <v>0</v>
      </c>
      <c r="F35" s="78">
        <f t="shared" si="46"/>
        <v>0</v>
      </c>
      <c r="G35" s="78">
        <v>0</v>
      </c>
      <c r="H35" s="78">
        <f t="shared" si="47"/>
        <v>0</v>
      </c>
      <c r="I35" s="78">
        <f t="shared" si="48"/>
        <v>1.4735980717499835</v>
      </c>
      <c r="J35" s="78">
        <f t="shared" si="35"/>
        <v>1.4735980717499835</v>
      </c>
      <c r="K35" s="79">
        <f t="shared" si="49"/>
        <v>1.4735980717499835</v>
      </c>
      <c r="L35" s="79">
        <f t="shared" si="36"/>
        <v>1.4735980717499835</v>
      </c>
      <c r="M35" s="79">
        <v>0</v>
      </c>
      <c r="N35" s="79">
        <f t="shared" si="50"/>
        <v>0</v>
      </c>
      <c r="O35" s="79">
        <v>0</v>
      </c>
      <c r="P35" s="79">
        <f t="shared" si="51"/>
        <v>0</v>
      </c>
      <c r="Q35" s="79">
        <f t="shared" si="52"/>
        <v>1.4735980717499835</v>
      </c>
      <c r="R35" s="79">
        <f t="shared" si="37"/>
        <v>1.4735980717499835</v>
      </c>
      <c r="S35" s="80">
        <f t="shared" si="53"/>
        <v>1.4735980717499835</v>
      </c>
      <c r="T35" s="80">
        <f t="shared" si="38"/>
        <v>1.4735980717499835</v>
      </c>
      <c r="U35" s="80">
        <v>0</v>
      </c>
      <c r="V35" s="80">
        <f t="shared" si="54"/>
        <v>0</v>
      </c>
      <c r="W35" s="80">
        <v>0</v>
      </c>
      <c r="X35" s="80">
        <f t="shared" si="55"/>
        <v>0</v>
      </c>
      <c r="Y35" s="80">
        <f t="shared" si="56"/>
        <v>1.4735980717499835</v>
      </c>
      <c r="Z35" s="80">
        <f t="shared" si="39"/>
        <v>1.4735980717499835</v>
      </c>
      <c r="AA35" s="81">
        <f t="shared" si="57"/>
        <v>1.4735980717499835</v>
      </c>
      <c r="AB35" s="81">
        <f t="shared" si="40"/>
        <v>1.4735980717499835</v>
      </c>
      <c r="AC35" s="81">
        <v>0</v>
      </c>
      <c r="AD35" s="81">
        <f t="shared" si="58"/>
        <v>0</v>
      </c>
      <c r="AE35" s="81">
        <v>0</v>
      </c>
      <c r="AF35" s="81">
        <f t="shared" si="59"/>
        <v>0</v>
      </c>
      <c r="AG35" s="81">
        <f t="shared" si="60"/>
        <v>1.4735980717499835</v>
      </c>
      <c r="AH35" s="81">
        <f t="shared" si="41"/>
        <v>1.4735980717499835</v>
      </c>
      <c r="AI35" s="82">
        <f t="shared" si="61"/>
        <v>1.4735980717499835</v>
      </c>
      <c r="AJ35" s="82">
        <f t="shared" si="42"/>
        <v>1.4735980717499835</v>
      </c>
      <c r="AK35" s="82">
        <v>0</v>
      </c>
      <c r="AL35" s="82">
        <f t="shared" si="62"/>
        <v>0</v>
      </c>
      <c r="AM35" s="82">
        <v>0</v>
      </c>
      <c r="AN35" s="82">
        <f t="shared" si="63"/>
        <v>0</v>
      </c>
      <c r="AO35" s="82">
        <f t="shared" si="64"/>
        <v>1.4735980717499835</v>
      </c>
      <c r="AP35" s="82">
        <f t="shared" si="43"/>
        <v>1.4735980717499835</v>
      </c>
      <c r="AQ35" s="83">
        <f t="shared" si="65"/>
        <v>1.4735980717499835</v>
      </c>
      <c r="AR35" s="83">
        <f t="shared" si="44"/>
        <v>1.4735980717499835</v>
      </c>
      <c r="AS35" s="83">
        <v>0</v>
      </c>
      <c r="AT35" s="83">
        <f t="shared" si="66"/>
        <v>0</v>
      </c>
      <c r="AU35" s="83">
        <v>0</v>
      </c>
      <c r="AV35" s="83">
        <f t="shared" si="67"/>
        <v>0</v>
      </c>
      <c r="AW35" s="83">
        <f t="shared" si="68"/>
        <v>1.4735980717499835</v>
      </c>
      <c r="AX35" s="83">
        <f t="shared" si="45"/>
        <v>1.4735980717499835</v>
      </c>
    </row>
    <row r="36" spans="2:50" x14ac:dyDescent="0.35">
      <c r="B36" s="7" t="s">
        <v>143</v>
      </c>
      <c r="C36" s="78">
        <v>2.2819061818961748</v>
      </c>
      <c r="D36" s="78">
        <v>2.2819061818961748</v>
      </c>
      <c r="E36" s="78">
        <v>7.0269412000000003E-2</v>
      </c>
      <c r="F36" s="78">
        <f t="shared" si="46"/>
        <v>7.026395590040059E-2</v>
      </c>
      <c r="G36" s="78">
        <v>0</v>
      </c>
      <c r="H36" s="78">
        <f t="shared" si="47"/>
        <v>0</v>
      </c>
      <c r="I36" s="78">
        <f t="shared" si="48"/>
        <v>2.3521755938961748</v>
      </c>
      <c r="J36" s="78">
        <f t="shared" si="35"/>
        <v>2.3521701377965756</v>
      </c>
      <c r="K36" s="79">
        <f t="shared" si="49"/>
        <v>2.3521755938961748</v>
      </c>
      <c r="L36" s="79">
        <f t="shared" si="36"/>
        <v>2.3521701377965756</v>
      </c>
      <c r="M36" s="79">
        <v>0.25337731699999999</v>
      </c>
      <c r="N36" s="79">
        <f t="shared" si="50"/>
        <v>0.25337731512584249</v>
      </c>
      <c r="O36" s="79">
        <v>0</v>
      </c>
      <c r="P36" s="79">
        <f t="shared" si="51"/>
        <v>0</v>
      </c>
      <c r="Q36" s="79">
        <f t="shared" si="52"/>
        <v>2.6055529108961748</v>
      </c>
      <c r="R36" s="79">
        <f t="shared" si="37"/>
        <v>2.6055474529224183</v>
      </c>
      <c r="S36" s="80">
        <f t="shared" si="53"/>
        <v>2.6055529108961748</v>
      </c>
      <c r="T36" s="80">
        <f t="shared" si="38"/>
        <v>2.6055474529224183</v>
      </c>
      <c r="U36" s="80">
        <v>0.14322996899999998</v>
      </c>
      <c r="V36" s="80">
        <f t="shared" si="54"/>
        <v>0.13142080290066033</v>
      </c>
      <c r="W36" s="80">
        <v>0</v>
      </c>
      <c r="X36" s="80">
        <f t="shared" si="55"/>
        <v>0</v>
      </c>
      <c r="Y36" s="80">
        <f t="shared" si="56"/>
        <v>2.7487828798961749</v>
      </c>
      <c r="Z36" s="80">
        <f t="shared" si="39"/>
        <v>2.7369682558230788</v>
      </c>
      <c r="AA36" s="81">
        <f t="shared" si="57"/>
        <v>2.7487828798961749</v>
      </c>
      <c r="AB36" s="81">
        <f t="shared" si="40"/>
        <v>2.7369682558230788</v>
      </c>
      <c r="AC36" s="81">
        <v>0</v>
      </c>
      <c r="AD36" s="81">
        <f t="shared" si="58"/>
        <v>0</v>
      </c>
      <c r="AE36" s="81">
        <v>0</v>
      </c>
      <c r="AF36" s="81">
        <f t="shared" si="59"/>
        <v>0</v>
      </c>
      <c r="AG36" s="81">
        <f t="shared" si="60"/>
        <v>2.7487828798961749</v>
      </c>
      <c r="AH36" s="81">
        <f t="shared" si="41"/>
        <v>2.7369682558230788</v>
      </c>
      <c r="AI36" s="82">
        <f t="shared" si="61"/>
        <v>2.7487828798961749</v>
      </c>
      <c r="AJ36" s="82">
        <f t="shared" si="42"/>
        <v>2.7369682558230788</v>
      </c>
      <c r="AK36" s="82">
        <v>0</v>
      </c>
      <c r="AL36" s="82">
        <f t="shared" si="62"/>
        <v>0</v>
      </c>
      <c r="AM36" s="82">
        <v>0</v>
      </c>
      <c r="AN36" s="82">
        <f t="shared" si="63"/>
        <v>0</v>
      </c>
      <c r="AO36" s="82">
        <f t="shared" si="64"/>
        <v>2.7487828798961749</v>
      </c>
      <c r="AP36" s="82">
        <f t="shared" si="43"/>
        <v>2.7369682558230788</v>
      </c>
      <c r="AQ36" s="83">
        <f t="shared" si="65"/>
        <v>2.7487828798961749</v>
      </c>
      <c r="AR36" s="83">
        <f t="shared" si="44"/>
        <v>2.7369682558230788</v>
      </c>
      <c r="AS36" s="83">
        <v>0</v>
      </c>
      <c r="AT36" s="83">
        <f t="shared" si="66"/>
        <v>0</v>
      </c>
      <c r="AU36" s="83">
        <v>0</v>
      </c>
      <c r="AV36" s="83">
        <f t="shared" si="67"/>
        <v>0</v>
      </c>
      <c r="AW36" s="83">
        <f t="shared" si="68"/>
        <v>2.7487828798961749</v>
      </c>
      <c r="AX36" s="83">
        <f t="shared" si="45"/>
        <v>2.7369682558230788</v>
      </c>
    </row>
    <row r="37" spans="2:50" x14ac:dyDescent="0.35">
      <c r="B37" s="7" t="s">
        <v>144</v>
      </c>
      <c r="C37" s="78">
        <v>6.4406725670684128</v>
      </c>
      <c r="D37" s="78">
        <v>6.4406725670684128</v>
      </c>
      <c r="E37" s="78">
        <v>2.4218181589999999</v>
      </c>
      <c r="F37" s="78">
        <f t="shared" si="46"/>
        <v>2.4216301158570293</v>
      </c>
      <c r="G37" s="78">
        <v>0</v>
      </c>
      <c r="H37" s="78">
        <f t="shared" si="47"/>
        <v>0</v>
      </c>
      <c r="I37" s="78">
        <f t="shared" si="48"/>
        <v>8.8624907260684118</v>
      </c>
      <c r="J37" s="78">
        <f t="shared" si="35"/>
        <v>8.8623026829254421</v>
      </c>
      <c r="K37" s="79">
        <f t="shared" si="49"/>
        <v>8.8624907260684118</v>
      </c>
      <c r="L37" s="79">
        <f t="shared" si="36"/>
        <v>8.8623026829254421</v>
      </c>
      <c r="M37" s="79">
        <v>0.49849477400000014</v>
      </c>
      <c r="N37" s="79">
        <f t="shared" si="50"/>
        <v>0.498494770312781</v>
      </c>
      <c r="O37" s="79">
        <v>0</v>
      </c>
      <c r="P37" s="79">
        <f t="shared" si="51"/>
        <v>0</v>
      </c>
      <c r="Q37" s="79">
        <f t="shared" si="52"/>
        <v>9.3609855000684128</v>
      </c>
      <c r="R37" s="79">
        <f t="shared" si="37"/>
        <v>9.3607974532382237</v>
      </c>
      <c r="S37" s="80">
        <f t="shared" si="53"/>
        <v>9.3609855000684128</v>
      </c>
      <c r="T37" s="80">
        <f t="shared" si="38"/>
        <v>9.3607974532382237</v>
      </c>
      <c r="U37" s="80">
        <v>1.0631096890000002</v>
      </c>
      <c r="V37" s="80">
        <f t="shared" si="54"/>
        <v>0.9754573702368905</v>
      </c>
      <c r="W37" s="80">
        <v>0</v>
      </c>
      <c r="X37" s="80">
        <f t="shared" si="55"/>
        <v>0</v>
      </c>
      <c r="Y37" s="80">
        <f t="shared" si="56"/>
        <v>10.424095189068414</v>
      </c>
      <c r="Z37" s="80">
        <f t="shared" si="39"/>
        <v>10.336254823475114</v>
      </c>
      <c r="AA37" s="81">
        <f t="shared" si="57"/>
        <v>10.424095189068414</v>
      </c>
      <c r="AB37" s="81">
        <f t="shared" si="40"/>
        <v>10.336254823475114</v>
      </c>
      <c r="AC37" s="81">
        <v>0</v>
      </c>
      <c r="AD37" s="81">
        <f t="shared" si="58"/>
        <v>0</v>
      </c>
      <c r="AE37" s="81">
        <v>0</v>
      </c>
      <c r="AF37" s="81">
        <f t="shared" si="59"/>
        <v>0</v>
      </c>
      <c r="AG37" s="81">
        <f t="shared" si="60"/>
        <v>10.424095189068414</v>
      </c>
      <c r="AH37" s="81">
        <f t="shared" si="41"/>
        <v>10.336254823475114</v>
      </c>
      <c r="AI37" s="82">
        <f t="shared" si="61"/>
        <v>10.424095189068414</v>
      </c>
      <c r="AJ37" s="82">
        <f t="shared" si="42"/>
        <v>10.336254823475114</v>
      </c>
      <c r="AK37" s="82">
        <v>0</v>
      </c>
      <c r="AL37" s="82">
        <f t="shared" si="62"/>
        <v>0</v>
      </c>
      <c r="AM37" s="82">
        <v>0</v>
      </c>
      <c r="AN37" s="82">
        <f t="shared" si="63"/>
        <v>0</v>
      </c>
      <c r="AO37" s="82">
        <f t="shared" si="64"/>
        <v>10.424095189068414</v>
      </c>
      <c r="AP37" s="82">
        <f t="shared" si="43"/>
        <v>10.336254823475114</v>
      </c>
      <c r="AQ37" s="83">
        <f t="shared" si="65"/>
        <v>10.424095189068414</v>
      </c>
      <c r="AR37" s="83">
        <f t="shared" si="44"/>
        <v>10.336254823475114</v>
      </c>
      <c r="AS37" s="83">
        <v>0</v>
      </c>
      <c r="AT37" s="83">
        <f t="shared" si="66"/>
        <v>0</v>
      </c>
      <c r="AU37" s="83">
        <v>0</v>
      </c>
      <c r="AV37" s="83">
        <f t="shared" si="67"/>
        <v>0</v>
      </c>
      <c r="AW37" s="83">
        <f t="shared" si="68"/>
        <v>10.424095189068414</v>
      </c>
      <c r="AX37" s="83">
        <f t="shared" si="45"/>
        <v>10.336254823475114</v>
      </c>
    </row>
    <row r="38" spans="2:50" x14ac:dyDescent="0.35">
      <c r="B38" s="7" t="s">
        <v>145</v>
      </c>
      <c r="C38" s="78">
        <v>0</v>
      </c>
      <c r="D38" s="78">
        <v>0</v>
      </c>
      <c r="E38" s="78">
        <v>0</v>
      </c>
      <c r="F38" s="78">
        <f t="shared" si="46"/>
        <v>0</v>
      </c>
      <c r="G38" s="78">
        <v>0</v>
      </c>
      <c r="H38" s="78">
        <f t="shared" si="47"/>
        <v>0</v>
      </c>
      <c r="I38" s="78">
        <f t="shared" si="48"/>
        <v>0</v>
      </c>
      <c r="J38" s="78">
        <f t="shared" si="35"/>
        <v>0</v>
      </c>
      <c r="K38" s="79">
        <f t="shared" si="49"/>
        <v>0</v>
      </c>
      <c r="L38" s="79">
        <f t="shared" si="36"/>
        <v>0</v>
      </c>
      <c r="M38" s="79">
        <v>0</v>
      </c>
      <c r="N38" s="79">
        <f t="shared" si="50"/>
        <v>0</v>
      </c>
      <c r="O38" s="79">
        <v>0</v>
      </c>
      <c r="P38" s="79">
        <f t="shared" si="51"/>
        <v>0</v>
      </c>
      <c r="Q38" s="79">
        <f t="shared" si="52"/>
        <v>0</v>
      </c>
      <c r="R38" s="79">
        <f t="shared" si="37"/>
        <v>0</v>
      </c>
      <c r="S38" s="80">
        <f t="shared" si="53"/>
        <v>0</v>
      </c>
      <c r="T38" s="80">
        <f t="shared" si="38"/>
        <v>0</v>
      </c>
      <c r="U38" s="80">
        <v>0</v>
      </c>
      <c r="V38" s="80">
        <f t="shared" si="54"/>
        <v>0</v>
      </c>
      <c r="W38" s="80">
        <v>0</v>
      </c>
      <c r="X38" s="80">
        <f t="shared" si="55"/>
        <v>0</v>
      </c>
      <c r="Y38" s="80">
        <f t="shared" si="56"/>
        <v>0</v>
      </c>
      <c r="Z38" s="80">
        <f t="shared" si="39"/>
        <v>0</v>
      </c>
      <c r="AA38" s="81">
        <f t="shared" si="57"/>
        <v>0</v>
      </c>
      <c r="AB38" s="81">
        <f t="shared" si="40"/>
        <v>0</v>
      </c>
      <c r="AC38" s="81">
        <v>0</v>
      </c>
      <c r="AD38" s="81">
        <f t="shared" si="58"/>
        <v>0</v>
      </c>
      <c r="AE38" s="81">
        <v>0</v>
      </c>
      <c r="AF38" s="81">
        <f t="shared" si="59"/>
        <v>0</v>
      </c>
      <c r="AG38" s="81">
        <f t="shared" si="60"/>
        <v>0</v>
      </c>
      <c r="AH38" s="81">
        <f t="shared" si="41"/>
        <v>0</v>
      </c>
      <c r="AI38" s="82">
        <f t="shared" si="61"/>
        <v>0</v>
      </c>
      <c r="AJ38" s="82">
        <f t="shared" si="42"/>
        <v>0</v>
      </c>
      <c r="AK38" s="82">
        <v>0</v>
      </c>
      <c r="AL38" s="82">
        <f t="shared" si="62"/>
        <v>0</v>
      </c>
      <c r="AM38" s="82">
        <v>0</v>
      </c>
      <c r="AN38" s="82">
        <f t="shared" si="63"/>
        <v>0</v>
      </c>
      <c r="AO38" s="82">
        <f t="shared" si="64"/>
        <v>0</v>
      </c>
      <c r="AP38" s="82">
        <f t="shared" si="43"/>
        <v>0</v>
      </c>
      <c r="AQ38" s="83">
        <f t="shared" si="65"/>
        <v>0</v>
      </c>
      <c r="AR38" s="83">
        <f t="shared" si="44"/>
        <v>0</v>
      </c>
      <c r="AS38" s="83">
        <v>0</v>
      </c>
      <c r="AT38" s="83">
        <f t="shared" si="66"/>
        <v>0</v>
      </c>
      <c r="AU38" s="83">
        <v>0</v>
      </c>
      <c r="AV38" s="83">
        <f t="shared" si="67"/>
        <v>0</v>
      </c>
      <c r="AW38" s="83">
        <f t="shared" si="68"/>
        <v>0</v>
      </c>
      <c r="AX38" s="83">
        <f t="shared" si="45"/>
        <v>0</v>
      </c>
    </row>
    <row r="39" spans="2:50" x14ac:dyDescent="0.35">
      <c r="B39" s="7" t="s">
        <v>146</v>
      </c>
      <c r="C39" s="78">
        <v>0</v>
      </c>
      <c r="D39" s="78">
        <v>0</v>
      </c>
      <c r="E39" s="78">
        <v>0</v>
      </c>
      <c r="F39" s="78">
        <f t="shared" si="46"/>
        <v>0</v>
      </c>
      <c r="G39" s="78">
        <v>0</v>
      </c>
      <c r="H39" s="78">
        <f t="shared" si="47"/>
        <v>0</v>
      </c>
      <c r="I39" s="78">
        <f t="shared" si="48"/>
        <v>0</v>
      </c>
      <c r="J39" s="78">
        <f t="shared" si="35"/>
        <v>0</v>
      </c>
      <c r="K39" s="79">
        <f t="shared" si="49"/>
        <v>0</v>
      </c>
      <c r="L39" s="79">
        <f t="shared" si="36"/>
        <v>0</v>
      </c>
      <c r="M39" s="79">
        <v>0</v>
      </c>
      <c r="N39" s="79">
        <f t="shared" si="50"/>
        <v>0</v>
      </c>
      <c r="O39" s="79">
        <v>0</v>
      </c>
      <c r="P39" s="79">
        <f t="shared" si="51"/>
        <v>0</v>
      </c>
      <c r="Q39" s="79">
        <f t="shared" si="52"/>
        <v>0</v>
      </c>
      <c r="R39" s="79">
        <f t="shared" si="37"/>
        <v>0</v>
      </c>
      <c r="S39" s="80">
        <f t="shared" si="53"/>
        <v>0</v>
      </c>
      <c r="T39" s="80">
        <f t="shared" si="38"/>
        <v>0</v>
      </c>
      <c r="U39" s="80">
        <v>0</v>
      </c>
      <c r="V39" s="80">
        <f t="shared" si="54"/>
        <v>0</v>
      </c>
      <c r="W39" s="80">
        <v>0</v>
      </c>
      <c r="X39" s="80">
        <f t="shared" si="55"/>
        <v>0</v>
      </c>
      <c r="Y39" s="80">
        <f t="shared" si="56"/>
        <v>0</v>
      </c>
      <c r="Z39" s="80">
        <f t="shared" si="39"/>
        <v>0</v>
      </c>
      <c r="AA39" s="81">
        <f t="shared" si="57"/>
        <v>0</v>
      </c>
      <c r="AB39" s="81">
        <f t="shared" si="40"/>
        <v>0</v>
      </c>
      <c r="AC39" s="81">
        <v>0</v>
      </c>
      <c r="AD39" s="81">
        <f t="shared" si="58"/>
        <v>0</v>
      </c>
      <c r="AE39" s="81">
        <v>0</v>
      </c>
      <c r="AF39" s="81">
        <f t="shared" si="59"/>
        <v>0</v>
      </c>
      <c r="AG39" s="81">
        <f t="shared" si="60"/>
        <v>0</v>
      </c>
      <c r="AH39" s="81">
        <f t="shared" si="41"/>
        <v>0</v>
      </c>
      <c r="AI39" s="82">
        <f t="shared" si="61"/>
        <v>0</v>
      </c>
      <c r="AJ39" s="82">
        <f t="shared" si="42"/>
        <v>0</v>
      </c>
      <c r="AK39" s="82">
        <v>0</v>
      </c>
      <c r="AL39" s="82">
        <f t="shared" si="62"/>
        <v>0</v>
      </c>
      <c r="AM39" s="82">
        <v>0</v>
      </c>
      <c r="AN39" s="82">
        <f t="shared" si="63"/>
        <v>0</v>
      </c>
      <c r="AO39" s="82">
        <f t="shared" si="64"/>
        <v>0</v>
      </c>
      <c r="AP39" s="82">
        <f t="shared" si="43"/>
        <v>0</v>
      </c>
      <c r="AQ39" s="83">
        <f t="shared" si="65"/>
        <v>0</v>
      </c>
      <c r="AR39" s="83">
        <f t="shared" si="44"/>
        <v>0</v>
      </c>
      <c r="AS39" s="83">
        <v>0</v>
      </c>
      <c r="AT39" s="83">
        <f t="shared" si="66"/>
        <v>0</v>
      </c>
      <c r="AU39" s="83">
        <v>0</v>
      </c>
      <c r="AV39" s="83">
        <f t="shared" si="67"/>
        <v>0</v>
      </c>
      <c r="AW39" s="83">
        <f t="shared" si="68"/>
        <v>0</v>
      </c>
      <c r="AX39" s="83">
        <f t="shared" si="45"/>
        <v>0</v>
      </c>
    </row>
    <row r="40" spans="2:50" x14ac:dyDescent="0.35">
      <c r="B40" s="7" t="s">
        <v>147</v>
      </c>
      <c r="C40" s="78">
        <v>0</v>
      </c>
      <c r="D40" s="78">
        <v>0</v>
      </c>
      <c r="E40" s="78">
        <v>0</v>
      </c>
      <c r="F40" s="78">
        <f t="shared" si="46"/>
        <v>0</v>
      </c>
      <c r="G40" s="78">
        <v>0</v>
      </c>
      <c r="H40" s="78">
        <f t="shared" si="47"/>
        <v>0</v>
      </c>
      <c r="I40" s="78">
        <f t="shared" si="48"/>
        <v>0</v>
      </c>
      <c r="J40" s="78">
        <f t="shared" si="35"/>
        <v>0</v>
      </c>
      <c r="K40" s="79">
        <f t="shared" si="49"/>
        <v>0</v>
      </c>
      <c r="L40" s="79">
        <f t="shared" si="36"/>
        <v>0</v>
      </c>
      <c r="M40" s="79">
        <v>0</v>
      </c>
      <c r="N40" s="79">
        <f t="shared" si="50"/>
        <v>0</v>
      </c>
      <c r="O40" s="79">
        <v>0</v>
      </c>
      <c r="P40" s="79">
        <f t="shared" si="51"/>
        <v>0</v>
      </c>
      <c r="Q40" s="79">
        <f t="shared" si="52"/>
        <v>0</v>
      </c>
      <c r="R40" s="79">
        <f t="shared" si="37"/>
        <v>0</v>
      </c>
      <c r="S40" s="80">
        <f t="shared" si="53"/>
        <v>0</v>
      </c>
      <c r="T40" s="80">
        <f t="shared" si="38"/>
        <v>0</v>
      </c>
      <c r="U40" s="80">
        <v>0</v>
      </c>
      <c r="V40" s="80">
        <f t="shared" si="54"/>
        <v>0</v>
      </c>
      <c r="W40" s="80">
        <v>0</v>
      </c>
      <c r="X40" s="80">
        <f t="shared" si="55"/>
        <v>0</v>
      </c>
      <c r="Y40" s="80">
        <f t="shared" si="56"/>
        <v>0</v>
      </c>
      <c r="Z40" s="80">
        <f t="shared" si="39"/>
        <v>0</v>
      </c>
      <c r="AA40" s="81">
        <f t="shared" si="57"/>
        <v>0</v>
      </c>
      <c r="AB40" s="81">
        <f t="shared" si="40"/>
        <v>0</v>
      </c>
      <c r="AC40" s="81">
        <v>0</v>
      </c>
      <c r="AD40" s="81">
        <f t="shared" si="58"/>
        <v>0</v>
      </c>
      <c r="AE40" s="81">
        <v>0</v>
      </c>
      <c r="AF40" s="81">
        <f t="shared" si="59"/>
        <v>0</v>
      </c>
      <c r="AG40" s="81">
        <f t="shared" si="60"/>
        <v>0</v>
      </c>
      <c r="AH40" s="81">
        <f t="shared" si="41"/>
        <v>0</v>
      </c>
      <c r="AI40" s="82">
        <f t="shared" si="61"/>
        <v>0</v>
      </c>
      <c r="AJ40" s="82">
        <f t="shared" si="42"/>
        <v>0</v>
      </c>
      <c r="AK40" s="82">
        <v>0</v>
      </c>
      <c r="AL40" s="82">
        <f t="shared" si="62"/>
        <v>0</v>
      </c>
      <c r="AM40" s="82">
        <v>0</v>
      </c>
      <c r="AN40" s="82">
        <f t="shared" si="63"/>
        <v>0</v>
      </c>
      <c r="AO40" s="82">
        <f t="shared" si="64"/>
        <v>0</v>
      </c>
      <c r="AP40" s="82">
        <f t="shared" si="43"/>
        <v>0</v>
      </c>
      <c r="AQ40" s="83">
        <f t="shared" si="65"/>
        <v>0</v>
      </c>
      <c r="AR40" s="83">
        <f t="shared" si="44"/>
        <v>0</v>
      </c>
      <c r="AS40" s="83">
        <v>0</v>
      </c>
      <c r="AT40" s="83">
        <f t="shared" si="66"/>
        <v>0</v>
      </c>
      <c r="AU40" s="83">
        <v>0</v>
      </c>
      <c r="AV40" s="83">
        <f t="shared" si="67"/>
        <v>0</v>
      </c>
      <c r="AW40" s="83">
        <f t="shared" si="68"/>
        <v>0</v>
      </c>
      <c r="AX40" s="83">
        <f t="shared" si="45"/>
        <v>0</v>
      </c>
    </row>
    <row r="41" spans="2:50" x14ac:dyDescent="0.35">
      <c r="B41" s="7" t="s">
        <v>148</v>
      </c>
      <c r="C41" s="78">
        <v>0</v>
      </c>
      <c r="D41" s="78">
        <v>0</v>
      </c>
      <c r="E41" s="78">
        <v>0</v>
      </c>
      <c r="F41" s="78">
        <f t="shared" si="46"/>
        <v>0</v>
      </c>
      <c r="G41" s="78">
        <v>0</v>
      </c>
      <c r="H41" s="78">
        <f t="shared" si="47"/>
        <v>0</v>
      </c>
      <c r="I41" s="78">
        <f t="shared" si="48"/>
        <v>0</v>
      </c>
      <c r="J41" s="78">
        <f t="shared" si="35"/>
        <v>0</v>
      </c>
      <c r="K41" s="79">
        <f t="shared" si="49"/>
        <v>0</v>
      </c>
      <c r="L41" s="79">
        <f t="shared" si="36"/>
        <v>0</v>
      </c>
      <c r="M41" s="79">
        <v>0</v>
      </c>
      <c r="N41" s="79">
        <f t="shared" si="50"/>
        <v>0</v>
      </c>
      <c r="O41" s="79">
        <v>0</v>
      </c>
      <c r="P41" s="79">
        <f t="shared" si="51"/>
        <v>0</v>
      </c>
      <c r="Q41" s="79">
        <f t="shared" si="52"/>
        <v>0</v>
      </c>
      <c r="R41" s="79">
        <f t="shared" si="37"/>
        <v>0</v>
      </c>
      <c r="S41" s="80">
        <f t="shared" si="53"/>
        <v>0</v>
      </c>
      <c r="T41" s="80">
        <f t="shared" si="38"/>
        <v>0</v>
      </c>
      <c r="U41" s="80">
        <v>0</v>
      </c>
      <c r="V41" s="80">
        <f t="shared" si="54"/>
        <v>0</v>
      </c>
      <c r="W41" s="80">
        <v>0</v>
      </c>
      <c r="X41" s="80">
        <f t="shared" si="55"/>
        <v>0</v>
      </c>
      <c r="Y41" s="80">
        <f t="shared" si="56"/>
        <v>0</v>
      </c>
      <c r="Z41" s="80">
        <f t="shared" si="39"/>
        <v>0</v>
      </c>
      <c r="AA41" s="81">
        <f t="shared" si="57"/>
        <v>0</v>
      </c>
      <c r="AB41" s="81">
        <f t="shared" si="40"/>
        <v>0</v>
      </c>
      <c r="AC41" s="81">
        <v>0</v>
      </c>
      <c r="AD41" s="81">
        <f t="shared" si="58"/>
        <v>0</v>
      </c>
      <c r="AE41" s="81">
        <v>0</v>
      </c>
      <c r="AF41" s="81">
        <f t="shared" si="59"/>
        <v>0</v>
      </c>
      <c r="AG41" s="81">
        <f t="shared" si="60"/>
        <v>0</v>
      </c>
      <c r="AH41" s="81">
        <f t="shared" si="41"/>
        <v>0</v>
      </c>
      <c r="AI41" s="82">
        <f t="shared" si="61"/>
        <v>0</v>
      </c>
      <c r="AJ41" s="82">
        <f t="shared" si="42"/>
        <v>0</v>
      </c>
      <c r="AK41" s="82">
        <v>0</v>
      </c>
      <c r="AL41" s="82">
        <f t="shared" si="62"/>
        <v>0</v>
      </c>
      <c r="AM41" s="82">
        <v>0</v>
      </c>
      <c r="AN41" s="82">
        <f t="shared" si="63"/>
        <v>0</v>
      </c>
      <c r="AO41" s="82">
        <f t="shared" si="64"/>
        <v>0</v>
      </c>
      <c r="AP41" s="82">
        <f t="shared" si="43"/>
        <v>0</v>
      </c>
      <c r="AQ41" s="83">
        <f t="shared" si="65"/>
        <v>0</v>
      </c>
      <c r="AR41" s="83">
        <f t="shared" si="44"/>
        <v>0</v>
      </c>
      <c r="AS41" s="83">
        <v>0</v>
      </c>
      <c r="AT41" s="83">
        <f t="shared" si="66"/>
        <v>0</v>
      </c>
      <c r="AU41" s="83">
        <v>0</v>
      </c>
      <c r="AV41" s="83">
        <f t="shared" si="67"/>
        <v>0</v>
      </c>
      <c r="AW41" s="83">
        <f t="shared" si="68"/>
        <v>0</v>
      </c>
      <c r="AX41" s="83">
        <f t="shared" si="45"/>
        <v>0</v>
      </c>
    </row>
    <row r="42" spans="2:50" ht="31" x14ac:dyDescent="0.35">
      <c r="B42" s="84" t="s">
        <v>149</v>
      </c>
      <c r="C42" s="78">
        <v>0</v>
      </c>
      <c r="D42" s="78">
        <v>0</v>
      </c>
      <c r="E42" s="78">
        <v>0</v>
      </c>
      <c r="F42" s="78">
        <f t="shared" si="46"/>
        <v>0</v>
      </c>
      <c r="G42" s="78">
        <v>0</v>
      </c>
      <c r="H42" s="78">
        <f t="shared" si="47"/>
        <v>0</v>
      </c>
      <c r="I42" s="78">
        <f t="shared" si="48"/>
        <v>0</v>
      </c>
      <c r="J42" s="78">
        <f t="shared" si="35"/>
        <v>0</v>
      </c>
      <c r="K42" s="79">
        <f t="shared" si="49"/>
        <v>0</v>
      </c>
      <c r="L42" s="79">
        <f t="shared" si="36"/>
        <v>0</v>
      </c>
      <c r="M42" s="79">
        <v>0</v>
      </c>
      <c r="N42" s="79">
        <f t="shared" si="50"/>
        <v>0</v>
      </c>
      <c r="O42" s="79">
        <v>0</v>
      </c>
      <c r="P42" s="79">
        <f t="shared" si="51"/>
        <v>0</v>
      </c>
      <c r="Q42" s="79">
        <f t="shared" si="52"/>
        <v>0</v>
      </c>
      <c r="R42" s="79">
        <f t="shared" si="37"/>
        <v>0</v>
      </c>
      <c r="S42" s="80">
        <f t="shared" si="53"/>
        <v>0</v>
      </c>
      <c r="T42" s="80">
        <f t="shared" si="38"/>
        <v>0</v>
      </c>
      <c r="U42" s="80">
        <v>0</v>
      </c>
      <c r="V42" s="80">
        <f t="shared" si="54"/>
        <v>0</v>
      </c>
      <c r="W42" s="80">
        <v>0</v>
      </c>
      <c r="X42" s="80">
        <f t="shared" si="55"/>
        <v>0</v>
      </c>
      <c r="Y42" s="80">
        <f t="shared" si="56"/>
        <v>0</v>
      </c>
      <c r="Z42" s="80">
        <f t="shared" si="39"/>
        <v>0</v>
      </c>
      <c r="AA42" s="81">
        <f t="shared" si="57"/>
        <v>0</v>
      </c>
      <c r="AB42" s="81">
        <f t="shared" si="40"/>
        <v>0</v>
      </c>
      <c r="AC42" s="81">
        <v>0</v>
      </c>
      <c r="AD42" s="81">
        <f t="shared" si="58"/>
        <v>0</v>
      </c>
      <c r="AE42" s="81">
        <v>0</v>
      </c>
      <c r="AF42" s="81">
        <f t="shared" si="59"/>
        <v>0</v>
      </c>
      <c r="AG42" s="81">
        <f t="shared" si="60"/>
        <v>0</v>
      </c>
      <c r="AH42" s="81">
        <f t="shared" si="41"/>
        <v>0</v>
      </c>
      <c r="AI42" s="82">
        <f t="shared" si="61"/>
        <v>0</v>
      </c>
      <c r="AJ42" s="82">
        <f t="shared" si="42"/>
        <v>0</v>
      </c>
      <c r="AK42" s="82">
        <v>0</v>
      </c>
      <c r="AL42" s="82">
        <f t="shared" si="62"/>
        <v>0</v>
      </c>
      <c r="AM42" s="82">
        <v>0</v>
      </c>
      <c r="AN42" s="82">
        <f t="shared" si="63"/>
        <v>0</v>
      </c>
      <c r="AO42" s="82">
        <f t="shared" si="64"/>
        <v>0</v>
      </c>
      <c r="AP42" s="82">
        <f t="shared" si="43"/>
        <v>0</v>
      </c>
      <c r="AQ42" s="83">
        <f t="shared" si="65"/>
        <v>0</v>
      </c>
      <c r="AR42" s="83">
        <f t="shared" si="44"/>
        <v>0</v>
      </c>
      <c r="AS42" s="83">
        <v>0</v>
      </c>
      <c r="AT42" s="83">
        <f t="shared" si="66"/>
        <v>0</v>
      </c>
      <c r="AU42" s="83">
        <v>0</v>
      </c>
      <c r="AV42" s="83">
        <f t="shared" si="67"/>
        <v>0</v>
      </c>
      <c r="AW42" s="83">
        <f t="shared" si="68"/>
        <v>0</v>
      </c>
      <c r="AX42" s="83">
        <f t="shared" si="45"/>
        <v>0</v>
      </c>
    </row>
    <row r="43" spans="2:50" x14ac:dyDescent="0.35">
      <c r="B43" s="12" t="s">
        <v>27</v>
      </c>
      <c r="C43" s="85">
        <f>SUM(C26:C42)</f>
        <v>3736.4979422751694</v>
      </c>
      <c r="D43" s="85">
        <f t="shared" ref="D43:E43" si="69">SUM(D26:D42)</f>
        <v>3736.4979422751694</v>
      </c>
      <c r="E43" s="85">
        <f t="shared" si="69"/>
        <v>54.122764410000002</v>
      </c>
      <c r="F43" s="85">
        <v>54.118562024000006</v>
      </c>
      <c r="G43" s="85">
        <f t="shared" ref="G43:M43" si="70">SUM(G26:G42)</f>
        <v>0</v>
      </c>
      <c r="H43" s="85">
        <f t="shared" si="70"/>
        <v>0</v>
      </c>
      <c r="I43" s="85">
        <f t="shared" si="70"/>
        <v>3790.6207066851694</v>
      </c>
      <c r="J43" s="85">
        <f t="shared" si="70"/>
        <v>3790.6165042991697</v>
      </c>
      <c r="K43" s="86">
        <f t="shared" si="70"/>
        <v>3790.6207066851694</v>
      </c>
      <c r="L43" s="86">
        <f t="shared" si="70"/>
        <v>3790.6165042991697</v>
      </c>
      <c r="M43" s="86">
        <f t="shared" si="70"/>
        <v>59.891526634000009</v>
      </c>
      <c r="N43" s="86">
        <v>59.891526191000004</v>
      </c>
      <c r="O43" s="86">
        <f t="shared" ref="O43:U43" si="71">SUM(O26:O42)</f>
        <v>0</v>
      </c>
      <c r="P43" s="86">
        <f t="shared" si="71"/>
        <v>0</v>
      </c>
      <c r="Q43" s="86">
        <f t="shared" si="71"/>
        <v>3850.5122333191698</v>
      </c>
      <c r="R43" s="86">
        <f t="shared" si="71"/>
        <v>3850.5080304901699</v>
      </c>
      <c r="S43" s="87">
        <f t="shared" si="71"/>
        <v>3850.5122333191698</v>
      </c>
      <c r="T43" s="87">
        <f t="shared" si="71"/>
        <v>3850.5080304901699</v>
      </c>
      <c r="U43" s="87">
        <f t="shared" si="71"/>
        <v>397.57917088399984</v>
      </c>
      <c r="V43" s="87">
        <v>364.79917030600001</v>
      </c>
      <c r="W43" s="87">
        <f t="shared" ref="W43:AC43" si="72">SUM(W26:W42)</f>
        <v>3.5476394999999998</v>
      </c>
      <c r="X43" s="87">
        <f t="shared" si="72"/>
        <v>3.5476394999999998</v>
      </c>
      <c r="Y43" s="87">
        <f t="shared" si="72"/>
        <v>4244.5437647031686</v>
      </c>
      <c r="Z43" s="87">
        <f t="shared" si="72"/>
        <v>4211.7595612961686</v>
      </c>
      <c r="AA43" s="88">
        <f t="shared" si="72"/>
        <v>4244.5437647031686</v>
      </c>
      <c r="AB43" s="88">
        <f t="shared" si="72"/>
        <v>4211.7595612961686</v>
      </c>
      <c r="AC43" s="88">
        <f t="shared" si="72"/>
        <v>211.89</v>
      </c>
      <c r="AD43" s="88">
        <v>199.16859312299999</v>
      </c>
      <c r="AE43" s="88">
        <f t="shared" ref="AE43:AK43" si="73">SUM(AE26:AE42)</f>
        <v>0</v>
      </c>
      <c r="AF43" s="88">
        <f t="shared" si="73"/>
        <v>0</v>
      </c>
      <c r="AG43" s="88">
        <f t="shared" si="73"/>
        <v>4456.4337647031689</v>
      </c>
      <c r="AH43" s="88">
        <f t="shared" si="73"/>
        <v>4410.928154419169</v>
      </c>
      <c r="AI43" s="89">
        <f t="shared" si="73"/>
        <v>4456.4337647031689</v>
      </c>
      <c r="AJ43" s="89">
        <f t="shared" si="73"/>
        <v>4410.928154419169</v>
      </c>
      <c r="AK43" s="89">
        <f t="shared" si="73"/>
        <v>411.92</v>
      </c>
      <c r="AL43" s="89">
        <v>149.45147759999998</v>
      </c>
      <c r="AM43" s="89">
        <f t="shared" ref="AM43:AS43" si="74">SUM(AM26:AM42)</f>
        <v>0</v>
      </c>
      <c r="AN43" s="89">
        <f t="shared" si="74"/>
        <v>0</v>
      </c>
      <c r="AO43" s="89">
        <f t="shared" si="74"/>
        <v>4868.353764703169</v>
      </c>
      <c r="AP43" s="89">
        <f t="shared" si="74"/>
        <v>4560.3796320191695</v>
      </c>
      <c r="AQ43" s="90">
        <f t="shared" si="74"/>
        <v>4868.353764703169</v>
      </c>
      <c r="AR43" s="90">
        <f t="shared" si="74"/>
        <v>4560.3796320191695</v>
      </c>
      <c r="AS43" s="90">
        <f t="shared" si="74"/>
        <v>1710.56</v>
      </c>
      <c r="AT43" s="90">
        <v>920.42908907900005</v>
      </c>
      <c r="AU43" s="90">
        <f t="shared" ref="AU43:AX43" si="75">SUM(AU26:AU42)</f>
        <v>0</v>
      </c>
      <c r="AV43" s="90">
        <f t="shared" si="75"/>
        <v>0</v>
      </c>
      <c r="AW43" s="90">
        <f t="shared" si="75"/>
        <v>6578.9137647031694</v>
      </c>
      <c r="AX43" s="90">
        <f t="shared" si="75"/>
        <v>5480.8087210981694</v>
      </c>
    </row>
    <row r="44" spans="2:50" s="77" customFormat="1" x14ac:dyDescent="0.35">
      <c r="B44" s="70" t="s">
        <v>151</v>
      </c>
      <c r="C44" s="71"/>
      <c r="D44" s="71"/>
      <c r="E44" s="71"/>
      <c r="F44" s="71"/>
      <c r="G44" s="71"/>
      <c r="H44" s="71"/>
      <c r="I44" s="71"/>
      <c r="J44" s="71"/>
      <c r="K44" s="72"/>
      <c r="L44" s="72"/>
      <c r="M44" s="72"/>
      <c r="N44" s="72"/>
      <c r="O44" s="72"/>
      <c r="P44" s="72"/>
      <c r="Q44" s="72"/>
      <c r="R44" s="72"/>
      <c r="S44" s="73"/>
      <c r="T44" s="73"/>
      <c r="U44" s="73"/>
      <c r="V44" s="73"/>
      <c r="W44" s="73"/>
      <c r="X44" s="73"/>
      <c r="Y44" s="73"/>
      <c r="Z44" s="73"/>
      <c r="AA44" s="74"/>
      <c r="AB44" s="74"/>
      <c r="AC44" s="74"/>
      <c r="AD44" s="74"/>
      <c r="AE44" s="74"/>
      <c r="AF44" s="74"/>
      <c r="AG44" s="74"/>
      <c r="AH44" s="74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</row>
    <row r="45" spans="2:50" x14ac:dyDescent="0.35">
      <c r="B45" s="7" t="s">
        <v>133</v>
      </c>
      <c r="C45" s="78">
        <v>6.2520407000000002</v>
      </c>
      <c r="D45" s="78">
        <v>6.2520407000000002</v>
      </c>
      <c r="E45" s="78">
        <v>0</v>
      </c>
      <c r="F45" s="78">
        <f>IFERROR(E45/E$62*F$62,0)</f>
        <v>0</v>
      </c>
      <c r="G45" s="78">
        <v>0</v>
      </c>
      <c r="H45" s="78">
        <f>G45</f>
        <v>0</v>
      </c>
      <c r="I45" s="78">
        <f>C45+E45-G45</f>
        <v>6.2520407000000002</v>
      </c>
      <c r="J45" s="78">
        <f t="shared" ref="J45:J61" si="76">D45+F45-H45</f>
        <v>6.2520407000000002</v>
      </c>
      <c r="K45" s="79">
        <f>I45</f>
        <v>6.2520407000000002</v>
      </c>
      <c r="L45" s="79">
        <f t="shared" ref="L45:L61" si="77">J45</f>
        <v>6.2520407000000002</v>
      </c>
      <c r="M45" s="79">
        <v>0.196996</v>
      </c>
      <c r="N45" s="79">
        <f>IFERROR(M45/M$62*N$62,0)</f>
        <v>0.19436614291960824</v>
      </c>
      <c r="O45" s="79">
        <v>0</v>
      </c>
      <c r="P45" s="79">
        <f>O45</f>
        <v>0</v>
      </c>
      <c r="Q45" s="79">
        <f>K45+M45-O45</f>
        <v>6.4490367000000006</v>
      </c>
      <c r="R45" s="79">
        <f t="shared" ref="R45:R61" si="78">L45+N45-P45</f>
        <v>6.4464068429196084</v>
      </c>
      <c r="S45" s="80">
        <f>Q45</f>
        <v>6.4490367000000006</v>
      </c>
      <c r="T45" s="80">
        <f t="shared" ref="T45:T61" si="79">R45</f>
        <v>6.4464068429196084</v>
      </c>
      <c r="U45" s="80">
        <v>1.36145E-2</v>
      </c>
      <c r="V45" s="80">
        <f>IFERROR(U45/U$62*V$62,0)</f>
        <v>1.3610522397304188E-2</v>
      </c>
      <c r="W45" s="80">
        <v>0</v>
      </c>
      <c r="X45" s="80">
        <f>W45</f>
        <v>0</v>
      </c>
      <c r="Y45" s="80">
        <f>S45+U45-W45</f>
        <v>6.4626512000000007</v>
      </c>
      <c r="Z45" s="80">
        <f t="shared" ref="Z45:Z61" si="80">T45+V45-X45</f>
        <v>6.4600173653169124</v>
      </c>
      <c r="AA45" s="81">
        <f>Y45</f>
        <v>6.4626512000000007</v>
      </c>
      <c r="AB45" s="81">
        <f t="shared" ref="AB45:AB61" si="81">Z45</f>
        <v>6.4600173653169124</v>
      </c>
      <c r="AC45" s="81">
        <v>0</v>
      </c>
      <c r="AD45" s="81">
        <f>IFERROR(AC45/AC$62*AD$62,0)</f>
        <v>0</v>
      </c>
      <c r="AE45" s="81">
        <v>0</v>
      </c>
      <c r="AF45" s="81">
        <f>AE45</f>
        <v>0</v>
      </c>
      <c r="AG45" s="81">
        <f>AA45+AC45-AE45</f>
        <v>6.4626512000000007</v>
      </c>
      <c r="AH45" s="81">
        <f t="shared" ref="AH45:AH61" si="82">AB45+AD45-AF45</f>
        <v>6.4600173653169124</v>
      </c>
      <c r="AI45" s="82">
        <f>AG45</f>
        <v>6.4626512000000007</v>
      </c>
      <c r="AJ45" s="82">
        <f t="shared" ref="AJ45:AJ61" si="83">AH45</f>
        <v>6.4600173653169124</v>
      </c>
      <c r="AK45" s="82">
        <v>0</v>
      </c>
      <c r="AL45" s="82">
        <f>IFERROR(AK45/AK$62*AL$62,0)</f>
        <v>0</v>
      </c>
      <c r="AM45" s="82">
        <v>0</v>
      </c>
      <c r="AN45" s="82">
        <f>AM45</f>
        <v>0</v>
      </c>
      <c r="AO45" s="82">
        <f>AI45+AK45-AM45</f>
        <v>6.4626512000000007</v>
      </c>
      <c r="AP45" s="82">
        <f t="shared" ref="AP45:AP61" si="84">AJ45+AL45-AN45</f>
        <v>6.4600173653169124</v>
      </c>
      <c r="AQ45" s="83">
        <f>AO45</f>
        <v>6.4626512000000007</v>
      </c>
      <c r="AR45" s="83">
        <f t="shared" ref="AR45:AR61" si="85">AP45</f>
        <v>6.4600173653169124</v>
      </c>
      <c r="AS45" s="83">
        <v>0</v>
      </c>
      <c r="AT45" s="83">
        <f>IFERROR(AS45/AS$62*AT$62,0)</f>
        <v>0</v>
      </c>
      <c r="AU45" s="83">
        <v>0</v>
      </c>
      <c r="AV45" s="83">
        <f>AU45</f>
        <v>0</v>
      </c>
      <c r="AW45" s="83">
        <f>AQ45+AS45-AU45</f>
        <v>6.4626512000000007</v>
      </c>
      <c r="AX45" s="83">
        <f t="shared" ref="AX45:AX61" si="86">AR45+AT45-AV45</f>
        <v>6.4600173653169124</v>
      </c>
    </row>
    <row r="46" spans="2:50" x14ac:dyDescent="0.35">
      <c r="B46" s="7" t="s">
        <v>134</v>
      </c>
      <c r="C46" s="78">
        <v>165.72420020000001</v>
      </c>
      <c r="D46" s="78">
        <v>165.72420020000001</v>
      </c>
      <c r="E46" s="78">
        <v>0</v>
      </c>
      <c r="F46" s="78">
        <f t="shared" ref="F46:F61" si="87">IFERROR(E46/E$62*F$62,0)</f>
        <v>0</v>
      </c>
      <c r="G46" s="78">
        <v>0</v>
      </c>
      <c r="H46" s="78">
        <f t="shared" ref="H46:H61" si="88">G46</f>
        <v>0</v>
      </c>
      <c r="I46" s="78">
        <f t="shared" ref="I46:I61" si="89">C46+E46-G46</f>
        <v>165.72420020000001</v>
      </c>
      <c r="J46" s="78">
        <f t="shared" si="76"/>
        <v>165.72420020000001</v>
      </c>
      <c r="K46" s="79">
        <f t="shared" ref="K46:K61" si="90">I46</f>
        <v>165.72420020000001</v>
      </c>
      <c r="L46" s="79">
        <f t="shared" si="77"/>
        <v>165.72420020000001</v>
      </c>
      <c r="M46" s="79">
        <v>0</v>
      </c>
      <c r="N46" s="79">
        <f t="shared" ref="N46:N61" si="91">IFERROR(M46/M$62*N$62,0)</f>
        <v>0</v>
      </c>
      <c r="O46" s="79">
        <v>0</v>
      </c>
      <c r="P46" s="79">
        <f t="shared" ref="P46:P61" si="92">O46</f>
        <v>0</v>
      </c>
      <c r="Q46" s="79">
        <f t="shared" ref="Q46:Q61" si="93">K46+M46-O46</f>
        <v>165.72420020000001</v>
      </c>
      <c r="R46" s="79">
        <f t="shared" si="78"/>
        <v>165.72420020000001</v>
      </c>
      <c r="S46" s="80">
        <f t="shared" ref="S46:S61" si="94">Q46</f>
        <v>165.72420020000001</v>
      </c>
      <c r="T46" s="80">
        <f t="shared" si="79"/>
        <v>165.72420020000001</v>
      </c>
      <c r="U46" s="80">
        <v>0</v>
      </c>
      <c r="V46" s="80">
        <f t="shared" ref="V46:V61" si="95">IFERROR(U46/U$62*V$62,0)</f>
        <v>0</v>
      </c>
      <c r="W46" s="80">
        <v>0</v>
      </c>
      <c r="X46" s="80">
        <f t="shared" ref="X46:X61" si="96">W46</f>
        <v>0</v>
      </c>
      <c r="Y46" s="80">
        <f t="shared" ref="Y46:Y61" si="97">S46+U46-W46</f>
        <v>165.72420020000001</v>
      </c>
      <c r="Z46" s="80">
        <f t="shared" si="80"/>
        <v>165.72420020000001</v>
      </c>
      <c r="AA46" s="81">
        <f t="shared" ref="AA46:AA61" si="98">Y46</f>
        <v>165.72420020000001</v>
      </c>
      <c r="AB46" s="81">
        <f t="shared" si="81"/>
        <v>165.72420020000001</v>
      </c>
      <c r="AC46" s="81">
        <v>0</v>
      </c>
      <c r="AD46" s="81">
        <f t="shared" ref="AD46:AD61" si="99">IFERROR(AC46/AC$62*AD$62,0)</f>
        <v>0</v>
      </c>
      <c r="AE46" s="81">
        <v>0</v>
      </c>
      <c r="AF46" s="81">
        <f t="shared" ref="AF46:AF61" si="100">AE46</f>
        <v>0</v>
      </c>
      <c r="AG46" s="81">
        <f t="shared" ref="AG46:AG61" si="101">AA46+AC46-AE46</f>
        <v>165.72420020000001</v>
      </c>
      <c r="AH46" s="81">
        <f t="shared" si="82"/>
        <v>165.72420020000001</v>
      </c>
      <c r="AI46" s="82">
        <f t="shared" ref="AI46:AI61" si="102">AG46</f>
        <v>165.72420020000001</v>
      </c>
      <c r="AJ46" s="82">
        <f t="shared" si="83"/>
        <v>165.72420020000001</v>
      </c>
      <c r="AK46" s="82">
        <v>0</v>
      </c>
      <c r="AL46" s="82">
        <f t="shared" ref="AL46:AL61" si="103">IFERROR(AK46/AK$62*AL$62,0)</f>
        <v>0</v>
      </c>
      <c r="AM46" s="82">
        <v>0</v>
      </c>
      <c r="AN46" s="82">
        <f t="shared" ref="AN46:AN61" si="104">AM46</f>
        <v>0</v>
      </c>
      <c r="AO46" s="82">
        <f t="shared" ref="AO46:AO61" si="105">AI46+AK46-AM46</f>
        <v>165.72420020000001</v>
      </c>
      <c r="AP46" s="82">
        <f t="shared" si="84"/>
        <v>165.72420020000001</v>
      </c>
      <c r="AQ46" s="83">
        <f t="shared" ref="AQ46:AQ61" si="106">AO46</f>
        <v>165.72420020000001</v>
      </c>
      <c r="AR46" s="83">
        <f t="shared" si="85"/>
        <v>165.72420020000001</v>
      </c>
      <c r="AS46" s="83">
        <v>0</v>
      </c>
      <c r="AT46" s="83">
        <f t="shared" ref="AT46:AT61" si="107">IFERROR(AS46/AS$62*AT$62,0)</f>
        <v>0</v>
      </c>
      <c r="AU46" s="83">
        <v>0</v>
      </c>
      <c r="AV46" s="83">
        <f t="shared" ref="AV46:AV61" si="108">AU46</f>
        <v>0</v>
      </c>
      <c r="AW46" s="83">
        <f t="shared" ref="AW46:AW61" si="109">AQ46+AS46-AU46</f>
        <v>165.72420020000001</v>
      </c>
      <c r="AX46" s="83">
        <f t="shared" si="86"/>
        <v>165.72420020000001</v>
      </c>
    </row>
    <row r="47" spans="2:50" ht="31" x14ac:dyDescent="0.35">
      <c r="B47" s="84" t="s">
        <v>135</v>
      </c>
      <c r="C47" s="78">
        <v>0</v>
      </c>
      <c r="D47" s="78">
        <v>0</v>
      </c>
      <c r="E47" s="78">
        <v>0</v>
      </c>
      <c r="F47" s="78">
        <f t="shared" si="87"/>
        <v>0</v>
      </c>
      <c r="G47" s="78">
        <v>0</v>
      </c>
      <c r="H47" s="78">
        <f t="shared" si="88"/>
        <v>0</v>
      </c>
      <c r="I47" s="78">
        <f t="shared" si="89"/>
        <v>0</v>
      </c>
      <c r="J47" s="78">
        <f t="shared" si="76"/>
        <v>0</v>
      </c>
      <c r="K47" s="79">
        <f t="shared" si="90"/>
        <v>0</v>
      </c>
      <c r="L47" s="79">
        <f t="shared" si="77"/>
        <v>0</v>
      </c>
      <c r="M47" s="79">
        <v>0</v>
      </c>
      <c r="N47" s="79">
        <f t="shared" si="91"/>
        <v>0</v>
      </c>
      <c r="O47" s="79">
        <v>0</v>
      </c>
      <c r="P47" s="79">
        <f t="shared" si="92"/>
        <v>0</v>
      </c>
      <c r="Q47" s="79">
        <f t="shared" si="93"/>
        <v>0</v>
      </c>
      <c r="R47" s="79">
        <f t="shared" si="78"/>
        <v>0</v>
      </c>
      <c r="S47" s="80">
        <f t="shared" si="94"/>
        <v>0</v>
      </c>
      <c r="T47" s="80">
        <f t="shared" si="79"/>
        <v>0</v>
      </c>
      <c r="U47" s="80">
        <v>0</v>
      </c>
      <c r="V47" s="80">
        <f t="shared" si="95"/>
        <v>0</v>
      </c>
      <c r="W47" s="80">
        <v>0</v>
      </c>
      <c r="X47" s="80">
        <f t="shared" si="96"/>
        <v>0</v>
      </c>
      <c r="Y47" s="80">
        <f t="shared" si="97"/>
        <v>0</v>
      </c>
      <c r="Z47" s="80">
        <f t="shared" si="80"/>
        <v>0</v>
      </c>
      <c r="AA47" s="81">
        <f t="shared" si="98"/>
        <v>0</v>
      </c>
      <c r="AB47" s="81">
        <f t="shared" si="81"/>
        <v>0</v>
      </c>
      <c r="AC47" s="81">
        <v>0</v>
      </c>
      <c r="AD47" s="81">
        <f t="shared" si="99"/>
        <v>0</v>
      </c>
      <c r="AE47" s="81">
        <v>0</v>
      </c>
      <c r="AF47" s="81">
        <f t="shared" si="100"/>
        <v>0</v>
      </c>
      <c r="AG47" s="81">
        <f t="shared" si="101"/>
        <v>0</v>
      </c>
      <c r="AH47" s="81">
        <f t="shared" si="82"/>
        <v>0</v>
      </c>
      <c r="AI47" s="82">
        <f t="shared" si="102"/>
        <v>0</v>
      </c>
      <c r="AJ47" s="82">
        <f t="shared" si="83"/>
        <v>0</v>
      </c>
      <c r="AK47" s="82">
        <v>0</v>
      </c>
      <c r="AL47" s="82">
        <f t="shared" si="103"/>
        <v>0</v>
      </c>
      <c r="AM47" s="82">
        <v>0</v>
      </c>
      <c r="AN47" s="82">
        <f t="shared" si="104"/>
        <v>0</v>
      </c>
      <c r="AO47" s="82">
        <f t="shared" si="105"/>
        <v>0</v>
      </c>
      <c r="AP47" s="82">
        <f t="shared" si="84"/>
        <v>0</v>
      </c>
      <c r="AQ47" s="83">
        <f t="shared" si="106"/>
        <v>0</v>
      </c>
      <c r="AR47" s="83">
        <f t="shared" si="85"/>
        <v>0</v>
      </c>
      <c r="AS47" s="83">
        <v>0</v>
      </c>
      <c r="AT47" s="83">
        <f t="shared" si="107"/>
        <v>0</v>
      </c>
      <c r="AU47" s="83">
        <v>0</v>
      </c>
      <c r="AV47" s="83">
        <f t="shared" si="108"/>
        <v>0</v>
      </c>
      <c r="AW47" s="83">
        <f t="shared" si="109"/>
        <v>0</v>
      </c>
      <c r="AX47" s="83">
        <f t="shared" si="86"/>
        <v>0</v>
      </c>
    </row>
    <row r="48" spans="2:50" x14ac:dyDescent="0.35">
      <c r="B48" s="7" t="s">
        <v>136</v>
      </c>
      <c r="C48" s="78">
        <v>139.6812347</v>
      </c>
      <c r="D48" s="78">
        <v>139.6812347</v>
      </c>
      <c r="E48" s="78">
        <v>0</v>
      </c>
      <c r="F48" s="78">
        <f t="shared" si="87"/>
        <v>0</v>
      </c>
      <c r="G48" s="78">
        <v>0</v>
      </c>
      <c r="H48" s="78">
        <f t="shared" si="88"/>
        <v>0</v>
      </c>
      <c r="I48" s="78">
        <f t="shared" si="89"/>
        <v>139.6812347</v>
      </c>
      <c r="J48" s="78">
        <f t="shared" si="76"/>
        <v>139.6812347</v>
      </c>
      <c r="K48" s="79">
        <f t="shared" si="90"/>
        <v>139.6812347</v>
      </c>
      <c r="L48" s="79">
        <f t="shared" si="77"/>
        <v>139.6812347</v>
      </c>
      <c r="M48" s="79">
        <v>0</v>
      </c>
      <c r="N48" s="79">
        <f t="shared" si="91"/>
        <v>0</v>
      </c>
      <c r="O48" s="79">
        <v>0</v>
      </c>
      <c r="P48" s="79">
        <f t="shared" si="92"/>
        <v>0</v>
      </c>
      <c r="Q48" s="79">
        <f t="shared" si="93"/>
        <v>139.6812347</v>
      </c>
      <c r="R48" s="79">
        <f t="shared" si="78"/>
        <v>139.6812347</v>
      </c>
      <c r="S48" s="80">
        <f t="shared" si="94"/>
        <v>139.6812347</v>
      </c>
      <c r="T48" s="80">
        <f t="shared" si="79"/>
        <v>139.6812347</v>
      </c>
      <c r="U48" s="80">
        <v>0</v>
      </c>
      <c r="V48" s="80">
        <f t="shared" si="95"/>
        <v>0</v>
      </c>
      <c r="W48" s="80">
        <v>0</v>
      </c>
      <c r="X48" s="80">
        <f t="shared" si="96"/>
        <v>0</v>
      </c>
      <c r="Y48" s="80">
        <f t="shared" si="97"/>
        <v>139.6812347</v>
      </c>
      <c r="Z48" s="80">
        <f t="shared" si="80"/>
        <v>139.6812347</v>
      </c>
      <c r="AA48" s="81">
        <f t="shared" si="98"/>
        <v>139.6812347</v>
      </c>
      <c r="AB48" s="81">
        <f t="shared" si="81"/>
        <v>139.6812347</v>
      </c>
      <c r="AC48" s="81">
        <v>0</v>
      </c>
      <c r="AD48" s="81">
        <f t="shared" si="99"/>
        <v>0</v>
      </c>
      <c r="AE48" s="81">
        <v>0</v>
      </c>
      <c r="AF48" s="81">
        <f t="shared" si="100"/>
        <v>0</v>
      </c>
      <c r="AG48" s="81">
        <f t="shared" si="101"/>
        <v>139.6812347</v>
      </c>
      <c r="AH48" s="81">
        <f t="shared" si="82"/>
        <v>139.6812347</v>
      </c>
      <c r="AI48" s="82">
        <f t="shared" si="102"/>
        <v>139.6812347</v>
      </c>
      <c r="AJ48" s="82">
        <f t="shared" si="83"/>
        <v>139.6812347</v>
      </c>
      <c r="AK48" s="82">
        <v>0</v>
      </c>
      <c r="AL48" s="82">
        <f t="shared" si="103"/>
        <v>0</v>
      </c>
      <c r="AM48" s="82">
        <v>0</v>
      </c>
      <c r="AN48" s="82">
        <f t="shared" si="104"/>
        <v>0</v>
      </c>
      <c r="AO48" s="82">
        <f t="shared" si="105"/>
        <v>139.6812347</v>
      </c>
      <c r="AP48" s="82">
        <f t="shared" si="84"/>
        <v>139.6812347</v>
      </c>
      <c r="AQ48" s="83">
        <f t="shared" si="106"/>
        <v>139.6812347</v>
      </c>
      <c r="AR48" s="83">
        <f t="shared" si="85"/>
        <v>139.6812347</v>
      </c>
      <c r="AS48" s="83">
        <v>0</v>
      </c>
      <c r="AT48" s="83">
        <f t="shared" si="107"/>
        <v>0</v>
      </c>
      <c r="AU48" s="83">
        <v>0</v>
      </c>
      <c r="AV48" s="83">
        <f t="shared" si="108"/>
        <v>0</v>
      </c>
      <c r="AW48" s="83">
        <f t="shared" si="109"/>
        <v>139.6812347</v>
      </c>
      <c r="AX48" s="83">
        <f t="shared" si="86"/>
        <v>139.6812347</v>
      </c>
    </row>
    <row r="49" spans="2:50" x14ac:dyDescent="0.35">
      <c r="B49" s="7" t="s">
        <v>137</v>
      </c>
      <c r="C49" s="78">
        <v>242.07812558199998</v>
      </c>
      <c r="D49" s="78">
        <v>242.07812558199998</v>
      </c>
      <c r="E49" s="78">
        <v>2.3993875999999998</v>
      </c>
      <c r="F49" s="78">
        <f t="shared" si="87"/>
        <v>2.4001457694768318</v>
      </c>
      <c r="G49" s="78">
        <v>5.7673289999999999E-3</v>
      </c>
      <c r="H49" s="78">
        <f t="shared" si="88"/>
        <v>5.7673289999999999E-3</v>
      </c>
      <c r="I49" s="78">
        <f t="shared" si="89"/>
        <v>244.47174585299999</v>
      </c>
      <c r="J49" s="78">
        <f t="shared" si="76"/>
        <v>244.47250402247681</v>
      </c>
      <c r="K49" s="79">
        <f t="shared" si="90"/>
        <v>244.47174585299999</v>
      </c>
      <c r="L49" s="79">
        <f t="shared" si="77"/>
        <v>244.47250402247681</v>
      </c>
      <c r="M49" s="79">
        <v>0</v>
      </c>
      <c r="N49" s="79">
        <f t="shared" si="91"/>
        <v>0</v>
      </c>
      <c r="O49" s="79">
        <v>0</v>
      </c>
      <c r="P49" s="79">
        <f t="shared" si="92"/>
        <v>0</v>
      </c>
      <c r="Q49" s="79">
        <f t="shared" si="93"/>
        <v>244.47174585299999</v>
      </c>
      <c r="R49" s="79">
        <f t="shared" si="78"/>
        <v>244.47250402247681</v>
      </c>
      <c r="S49" s="80">
        <f t="shared" si="94"/>
        <v>244.47174585299999</v>
      </c>
      <c r="T49" s="80">
        <f t="shared" si="79"/>
        <v>244.47250402247681</v>
      </c>
      <c r="U49" s="80">
        <v>0.64975271800000001</v>
      </c>
      <c r="V49" s="80">
        <f t="shared" si="95"/>
        <v>0.649562886705224</v>
      </c>
      <c r="W49" s="80">
        <v>2.6370185309999998</v>
      </c>
      <c r="X49" s="80">
        <f t="shared" si="96"/>
        <v>2.6370185309999998</v>
      </c>
      <c r="Y49" s="80">
        <f t="shared" si="97"/>
        <v>242.48448003999999</v>
      </c>
      <c r="Z49" s="80">
        <f t="shared" si="80"/>
        <v>242.48504837818203</v>
      </c>
      <c r="AA49" s="81">
        <f t="shared" si="98"/>
        <v>242.48448003999999</v>
      </c>
      <c r="AB49" s="81">
        <f t="shared" si="81"/>
        <v>242.48504837818203</v>
      </c>
      <c r="AC49" s="81">
        <v>0</v>
      </c>
      <c r="AD49" s="81">
        <f t="shared" si="99"/>
        <v>0</v>
      </c>
      <c r="AE49" s="81">
        <v>0</v>
      </c>
      <c r="AF49" s="81">
        <f t="shared" si="100"/>
        <v>0</v>
      </c>
      <c r="AG49" s="81">
        <f t="shared" si="101"/>
        <v>242.48448003999999</v>
      </c>
      <c r="AH49" s="81">
        <f t="shared" si="82"/>
        <v>242.48504837818203</v>
      </c>
      <c r="AI49" s="82">
        <f t="shared" si="102"/>
        <v>242.48448003999999</v>
      </c>
      <c r="AJ49" s="82">
        <f t="shared" si="83"/>
        <v>242.48504837818203</v>
      </c>
      <c r="AK49" s="82">
        <v>0</v>
      </c>
      <c r="AL49" s="82">
        <f t="shared" si="103"/>
        <v>0</v>
      </c>
      <c r="AM49" s="82">
        <v>0</v>
      </c>
      <c r="AN49" s="82">
        <f t="shared" si="104"/>
        <v>0</v>
      </c>
      <c r="AO49" s="82">
        <f t="shared" si="105"/>
        <v>242.48448003999999</v>
      </c>
      <c r="AP49" s="82">
        <f t="shared" si="84"/>
        <v>242.48504837818203</v>
      </c>
      <c r="AQ49" s="83">
        <f t="shared" si="106"/>
        <v>242.48448003999999</v>
      </c>
      <c r="AR49" s="83">
        <f t="shared" si="85"/>
        <v>242.48504837818203</v>
      </c>
      <c r="AS49" s="83">
        <v>0</v>
      </c>
      <c r="AT49" s="83">
        <f t="shared" si="107"/>
        <v>0</v>
      </c>
      <c r="AU49" s="83">
        <v>0</v>
      </c>
      <c r="AV49" s="83">
        <f t="shared" si="108"/>
        <v>0</v>
      </c>
      <c r="AW49" s="83">
        <f t="shared" si="109"/>
        <v>242.48448003999999</v>
      </c>
      <c r="AX49" s="83">
        <f t="shared" si="86"/>
        <v>242.48504837818203</v>
      </c>
    </row>
    <row r="50" spans="2:50" x14ac:dyDescent="0.35">
      <c r="B50" s="7" t="s">
        <v>138</v>
      </c>
      <c r="C50" s="78">
        <v>1982.7465974524669</v>
      </c>
      <c r="D50" s="78">
        <v>1982.7465974524669</v>
      </c>
      <c r="E50" s="78">
        <v>7.2405575599999992</v>
      </c>
      <c r="F50" s="78">
        <f t="shared" si="87"/>
        <v>7.2428454645208173</v>
      </c>
      <c r="G50" s="78">
        <v>0</v>
      </c>
      <c r="H50" s="78">
        <f t="shared" si="88"/>
        <v>0</v>
      </c>
      <c r="I50" s="78">
        <f t="shared" si="89"/>
        <v>1989.9871550124669</v>
      </c>
      <c r="J50" s="78">
        <f t="shared" si="76"/>
        <v>1989.9894429169876</v>
      </c>
      <c r="K50" s="79">
        <f t="shared" si="90"/>
        <v>1989.9871550124669</v>
      </c>
      <c r="L50" s="79">
        <f t="shared" si="77"/>
        <v>1989.9894429169876</v>
      </c>
      <c r="M50" s="79">
        <v>12.111948256</v>
      </c>
      <c r="N50" s="79">
        <f t="shared" si="91"/>
        <v>11.950256176575136</v>
      </c>
      <c r="O50" s="79">
        <v>2.2123567999999998</v>
      </c>
      <c r="P50" s="79">
        <f t="shared" si="92"/>
        <v>2.2123567999999998</v>
      </c>
      <c r="Q50" s="79">
        <f t="shared" si="93"/>
        <v>1999.886746468467</v>
      </c>
      <c r="R50" s="79">
        <f t="shared" si="78"/>
        <v>1999.7273422935627</v>
      </c>
      <c r="S50" s="80">
        <f t="shared" si="94"/>
        <v>1999.886746468467</v>
      </c>
      <c r="T50" s="80">
        <f t="shared" si="79"/>
        <v>1999.7273422935627</v>
      </c>
      <c r="U50" s="80">
        <v>29.845091410000002</v>
      </c>
      <c r="V50" s="80">
        <f t="shared" si="95"/>
        <v>29.836371889191366</v>
      </c>
      <c r="W50" s="80">
        <v>11.771802599999999</v>
      </c>
      <c r="X50" s="80">
        <f t="shared" si="96"/>
        <v>11.771802599999999</v>
      </c>
      <c r="Y50" s="80">
        <f t="shared" si="97"/>
        <v>2017.9600352784669</v>
      </c>
      <c r="Z50" s="80">
        <f t="shared" si="80"/>
        <v>2017.7919115827542</v>
      </c>
      <c r="AA50" s="81">
        <f t="shared" si="98"/>
        <v>2017.9600352784669</v>
      </c>
      <c r="AB50" s="81">
        <f t="shared" si="81"/>
        <v>2017.7919115827542</v>
      </c>
      <c r="AC50" s="81">
        <v>45.77</v>
      </c>
      <c r="AD50" s="81">
        <f t="shared" si="99"/>
        <v>45.77</v>
      </c>
      <c r="AE50" s="81">
        <v>0</v>
      </c>
      <c r="AF50" s="81">
        <f t="shared" si="100"/>
        <v>0</v>
      </c>
      <c r="AG50" s="81">
        <f t="shared" si="101"/>
        <v>2063.7300352784669</v>
      </c>
      <c r="AH50" s="81">
        <f t="shared" si="82"/>
        <v>2063.5619115827544</v>
      </c>
      <c r="AI50" s="82">
        <f t="shared" si="102"/>
        <v>2063.7300352784669</v>
      </c>
      <c r="AJ50" s="82">
        <f t="shared" si="83"/>
        <v>2063.5619115827544</v>
      </c>
      <c r="AK50" s="82">
        <v>649.54</v>
      </c>
      <c r="AL50" s="82">
        <f t="shared" si="103"/>
        <v>421.13</v>
      </c>
      <c r="AM50" s="82">
        <v>0</v>
      </c>
      <c r="AN50" s="82">
        <f t="shared" si="104"/>
        <v>0</v>
      </c>
      <c r="AO50" s="82">
        <f t="shared" si="105"/>
        <v>2713.2700352784668</v>
      </c>
      <c r="AP50" s="82">
        <f t="shared" si="84"/>
        <v>2484.6919115827545</v>
      </c>
      <c r="AQ50" s="83">
        <f t="shared" si="106"/>
        <v>2713.2700352784668</v>
      </c>
      <c r="AR50" s="83">
        <f t="shared" si="85"/>
        <v>2484.6919115827545</v>
      </c>
      <c r="AS50" s="83">
        <v>356.29</v>
      </c>
      <c r="AT50" s="83">
        <f t="shared" si="107"/>
        <v>101.01282827980815</v>
      </c>
      <c r="AU50" s="83">
        <v>0</v>
      </c>
      <c r="AV50" s="83">
        <f t="shared" si="108"/>
        <v>0</v>
      </c>
      <c r="AW50" s="83">
        <f t="shared" si="109"/>
        <v>3069.5600352784668</v>
      </c>
      <c r="AX50" s="83">
        <f t="shared" si="86"/>
        <v>2585.7047398625627</v>
      </c>
    </row>
    <row r="51" spans="2:50" x14ac:dyDescent="0.35">
      <c r="B51" s="7" t="s">
        <v>139</v>
      </c>
      <c r="C51" s="78">
        <v>0</v>
      </c>
      <c r="D51" s="78">
        <v>0</v>
      </c>
      <c r="E51" s="78">
        <v>1.0473163000000001</v>
      </c>
      <c r="F51" s="78">
        <f t="shared" si="87"/>
        <v>1.0476472357984714</v>
      </c>
      <c r="G51" s="78">
        <v>0.10010230000000001</v>
      </c>
      <c r="H51" s="78">
        <f t="shared" si="88"/>
        <v>0.10010230000000001</v>
      </c>
      <c r="I51" s="78">
        <f t="shared" si="89"/>
        <v>0.94721400000000011</v>
      </c>
      <c r="J51" s="78">
        <f t="shared" si="76"/>
        <v>0.94754493579847143</v>
      </c>
      <c r="K51" s="79">
        <f t="shared" si="90"/>
        <v>0.94721400000000011</v>
      </c>
      <c r="L51" s="79">
        <f t="shared" si="77"/>
        <v>0.94754493579847143</v>
      </c>
      <c r="M51" s="79">
        <v>0.41032469999999999</v>
      </c>
      <c r="N51" s="79">
        <f t="shared" si="91"/>
        <v>0.4048469475707393</v>
      </c>
      <c r="O51" s="79">
        <v>7.3423600000000006E-2</v>
      </c>
      <c r="P51" s="79">
        <f t="shared" si="92"/>
        <v>7.3423600000000006E-2</v>
      </c>
      <c r="Q51" s="79">
        <f t="shared" si="93"/>
        <v>1.2841151000000002</v>
      </c>
      <c r="R51" s="79">
        <f t="shared" si="78"/>
        <v>1.2789682833692109</v>
      </c>
      <c r="S51" s="80">
        <f t="shared" si="94"/>
        <v>1.2841151000000002</v>
      </c>
      <c r="T51" s="80">
        <f t="shared" si="79"/>
        <v>1.2789682833692109</v>
      </c>
      <c r="U51" s="80">
        <v>0</v>
      </c>
      <c r="V51" s="80">
        <f t="shared" si="95"/>
        <v>0</v>
      </c>
      <c r="W51" s="80">
        <v>0</v>
      </c>
      <c r="X51" s="80">
        <f t="shared" si="96"/>
        <v>0</v>
      </c>
      <c r="Y51" s="80">
        <f t="shared" si="97"/>
        <v>1.2841151000000002</v>
      </c>
      <c r="Z51" s="80">
        <f t="shared" si="80"/>
        <v>1.2789682833692109</v>
      </c>
      <c r="AA51" s="81">
        <f t="shared" si="98"/>
        <v>1.2841151000000002</v>
      </c>
      <c r="AB51" s="81">
        <f t="shared" si="81"/>
        <v>1.2789682833692109</v>
      </c>
      <c r="AC51" s="81">
        <v>0</v>
      </c>
      <c r="AD51" s="81">
        <f t="shared" si="99"/>
        <v>0</v>
      </c>
      <c r="AE51" s="81">
        <v>0</v>
      </c>
      <c r="AF51" s="81">
        <f t="shared" si="100"/>
        <v>0</v>
      </c>
      <c r="AG51" s="81">
        <f t="shared" si="101"/>
        <v>1.2841151000000002</v>
      </c>
      <c r="AH51" s="81">
        <f t="shared" si="82"/>
        <v>1.2789682833692109</v>
      </c>
      <c r="AI51" s="82">
        <f t="shared" si="102"/>
        <v>1.2841151000000002</v>
      </c>
      <c r="AJ51" s="82">
        <f t="shared" si="83"/>
        <v>1.2789682833692109</v>
      </c>
      <c r="AK51" s="82">
        <v>0</v>
      </c>
      <c r="AL51" s="82">
        <f t="shared" si="103"/>
        <v>0</v>
      </c>
      <c r="AM51" s="82">
        <v>0</v>
      </c>
      <c r="AN51" s="82">
        <f t="shared" si="104"/>
        <v>0</v>
      </c>
      <c r="AO51" s="82">
        <f t="shared" si="105"/>
        <v>1.2841151000000002</v>
      </c>
      <c r="AP51" s="82">
        <f t="shared" si="84"/>
        <v>1.2789682833692109</v>
      </c>
      <c r="AQ51" s="83">
        <f t="shared" si="106"/>
        <v>1.2841151000000002</v>
      </c>
      <c r="AR51" s="83">
        <f t="shared" si="85"/>
        <v>1.2789682833692109</v>
      </c>
      <c r="AS51" s="83">
        <v>0</v>
      </c>
      <c r="AT51" s="83">
        <f t="shared" si="107"/>
        <v>0</v>
      </c>
      <c r="AU51" s="83">
        <v>0</v>
      </c>
      <c r="AV51" s="83">
        <f t="shared" si="108"/>
        <v>0</v>
      </c>
      <c r="AW51" s="83">
        <f t="shared" si="109"/>
        <v>1.2841151000000002</v>
      </c>
      <c r="AX51" s="83">
        <f t="shared" si="86"/>
        <v>1.2789682833692109</v>
      </c>
    </row>
    <row r="52" spans="2:50" x14ac:dyDescent="0.35">
      <c r="B52" s="7" t="s">
        <v>140</v>
      </c>
      <c r="C52" s="78">
        <v>0</v>
      </c>
      <c r="D52" s="78">
        <v>0</v>
      </c>
      <c r="E52" s="78">
        <v>0.17022747599999999</v>
      </c>
      <c r="F52" s="78">
        <f t="shared" si="87"/>
        <v>0.1702812652570676</v>
      </c>
      <c r="G52" s="78">
        <v>0</v>
      </c>
      <c r="H52" s="78">
        <f t="shared" si="88"/>
        <v>0</v>
      </c>
      <c r="I52" s="78">
        <f t="shared" si="89"/>
        <v>0.17022747599999999</v>
      </c>
      <c r="J52" s="78">
        <f t="shared" si="76"/>
        <v>0.1702812652570676</v>
      </c>
      <c r="K52" s="79">
        <f t="shared" si="90"/>
        <v>0.17022747599999999</v>
      </c>
      <c r="L52" s="79">
        <f t="shared" si="77"/>
        <v>0.1702812652570676</v>
      </c>
      <c r="M52" s="79">
        <v>0.182555457</v>
      </c>
      <c r="N52" s="79">
        <f t="shared" si="91"/>
        <v>0.18011837827172325</v>
      </c>
      <c r="O52" s="79">
        <v>0</v>
      </c>
      <c r="P52" s="79">
        <f t="shared" si="92"/>
        <v>0</v>
      </c>
      <c r="Q52" s="79">
        <f t="shared" si="93"/>
        <v>0.35278293299999997</v>
      </c>
      <c r="R52" s="79">
        <f t="shared" si="78"/>
        <v>0.35039964352879083</v>
      </c>
      <c r="S52" s="80">
        <f t="shared" si="94"/>
        <v>0.35278293299999997</v>
      </c>
      <c r="T52" s="80">
        <f t="shared" si="79"/>
        <v>0.35039964352879083</v>
      </c>
      <c r="U52" s="80">
        <v>5.2859752000000003E-2</v>
      </c>
      <c r="V52" s="80">
        <f t="shared" si="95"/>
        <v>5.284430853222262E-2</v>
      </c>
      <c r="W52" s="80">
        <v>0</v>
      </c>
      <c r="X52" s="80">
        <f t="shared" si="96"/>
        <v>0</v>
      </c>
      <c r="Y52" s="80">
        <f t="shared" si="97"/>
        <v>0.40564268499999995</v>
      </c>
      <c r="Z52" s="80">
        <f t="shared" si="80"/>
        <v>0.40324395206101343</v>
      </c>
      <c r="AA52" s="81">
        <f t="shared" si="98"/>
        <v>0.40564268499999995</v>
      </c>
      <c r="AB52" s="81">
        <f t="shared" si="81"/>
        <v>0.40324395206101343</v>
      </c>
      <c r="AC52" s="81">
        <v>0</v>
      </c>
      <c r="AD52" s="81">
        <f t="shared" si="99"/>
        <v>0</v>
      </c>
      <c r="AE52" s="81">
        <v>0</v>
      </c>
      <c r="AF52" s="81">
        <f t="shared" si="100"/>
        <v>0</v>
      </c>
      <c r="AG52" s="81">
        <f t="shared" si="101"/>
        <v>0.40564268499999995</v>
      </c>
      <c r="AH52" s="81">
        <f t="shared" si="82"/>
        <v>0.40324395206101343</v>
      </c>
      <c r="AI52" s="82">
        <f t="shared" si="102"/>
        <v>0.40564268499999995</v>
      </c>
      <c r="AJ52" s="82">
        <f t="shared" si="83"/>
        <v>0.40324395206101343</v>
      </c>
      <c r="AK52" s="82">
        <v>0</v>
      </c>
      <c r="AL52" s="82">
        <f t="shared" si="103"/>
        <v>0</v>
      </c>
      <c r="AM52" s="82">
        <v>0</v>
      </c>
      <c r="AN52" s="82">
        <f t="shared" si="104"/>
        <v>0</v>
      </c>
      <c r="AO52" s="82">
        <f t="shared" si="105"/>
        <v>0.40564268499999995</v>
      </c>
      <c r="AP52" s="82">
        <f t="shared" si="84"/>
        <v>0.40324395206101343</v>
      </c>
      <c r="AQ52" s="83">
        <f t="shared" si="106"/>
        <v>0.40564268499999995</v>
      </c>
      <c r="AR52" s="83">
        <f t="shared" si="85"/>
        <v>0.40324395206101343</v>
      </c>
      <c r="AS52" s="83">
        <v>0</v>
      </c>
      <c r="AT52" s="83">
        <f t="shared" si="107"/>
        <v>0</v>
      </c>
      <c r="AU52" s="83">
        <v>0</v>
      </c>
      <c r="AV52" s="83">
        <f t="shared" si="108"/>
        <v>0</v>
      </c>
      <c r="AW52" s="83">
        <f t="shared" si="109"/>
        <v>0.40564268499999995</v>
      </c>
      <c r="AX52" s="83">
        <f t="shared" si="86"/>
        <v>0.40324395206101343</v>
      </c>
    </row>
    <row r="53" spans="2:50" x14ac:dyDescent="0.35">
      <c r="B53" s="7" t="s">
        <v>141</v>
      </c>
      <c r="C53" s="78">
        <v>32.687209100000004</v>
      </c>
      <c r="D53" s="78">
        <v>32.687209100000004</v>
      </c>
      <c r="E53" s="78">
        <v>0</v>
      </c>
      <c r="F53" s="78">
        <f t="shared" si="87"/>
        <v>0</v>
      </c>
      <c r="G53" s="78">
        <v>0</v>
      </c>
      <c r="H53" s="78">
        <f t="shared" si="88"/>
        <v>0</v>
      </c>
      <c r="I53" s="78">
        <f t="shared" si="89"/>
        <v>32.687209100000004</v>
      </c>
      <c r="J53" s="78">
        <f t="shared" si="76"/>
        <v>32.687209100000004</v>
      </c>
      <c r="K53" s="79">
        <f t="shared" si="90"/>
        <v>32.687209100000004</v>
      </c>
      <c r="L53" s="79">
        <f t="shared" si="77"/>
        <v>32.687209100000004</v>
      </c>
      <c r="M53" s="79">
        <v>0</v>
      </c>
      <c r="N53" s="79">
        <f t="shared" si="91"/>
        <v>0</v>
      </c>
      <c r="O53" s="79">
        <v>0</v>
      </c>
      <c r="P53" s="79">
        <f t="shared" si="92"/>
        <v>0</v>
      </c>
      <c r="Q53" s="79">
        <f t="shared" si="93"/>
        <v>32.687209100000004</v>
      </c>
      <c r="R53" s="79">
        <f t="shared" si="78"/>
        <v>32.687209100000004</v>
      </c>
      <c r="S53" s="80">
        <f t="shared" si="94"/>
        <v>32.687209100000004</v>
      </c>
      <c r="T53" s="80">
        <f t="shared" si="79"/>
        <v>32.687209100000004</v>
      </c>
      <c r="U53" s="80">
        <v>0</v>
      </c>
      <c r="V53" s="80">
        <f t="shared" si="95"/>
        <v>0</v>
      </c>
      <c r="W53" s="80">
        <v>0</v>
      </c>
      <c r="X53" s="80">
        <f t="shared" si="96"/>
        <v>0</v>
      </c>
      <c r="Y53" s="80">
        <f t="shared" si="97"/>
        <v>32.687209100000004</v>
      </c>
      <c r="Z53" s="80">
        <f t="shared" si="80"/>
        <v>32.687209100000004</v>
      </c>
      <c r="AA53" s="81">
        <f t="shared" si="98"/>
        <v>32.687209100000004</v>
      </c>
      <c r="AB53" s="81">
        <f t="shared" si="81"/>
        <v>32.687209100000004</v>
      </c>
      <c r="AC53" s="81">
        <v>0</v>
      </c>
      <c r="AD53" s="81">
        <f t="shared" si="99"/>
        <v>0</v>
      </c>
      <c r="AE53" s="81">
        <v>0</v>
      </c>
      <c r="AF53" s="81">
        <f t="shared" si="100"/>
        <v>0</v>
      </c>
      <c r="AG53" s="81">
        <f t="shared" si="101"/>
        <v>32.687209100000004</v>
      </c>
      <c r="AH53" s="81">
        <f t="shared" si="82"/>
        <v>32.687209100000004</v>
      </c>
      <c r="AI53" s="82">
        <f t="shared" si="102"/>
        <v>32.687209100000004</v>
      </c>
      <c r="AJ53" s="82">
        <f t="shared" si="83"/>
        <v>32.687209100000004</v>
      </c>
      <c r="AK53" s="82">
        <v>0</v>
      </c>
      <c r="AL53" s="82">
        <f t="shared" si="103"/>
        <v>0</v>
      </c>
      <c r="AM53" s="82">
        <v>0</v>
      </c>
      <c r="AN53" s="82">
        <f t="shared" si="104"/>
        <v>0</v>
      </c>
      <c r="AO53" s="82">
        <f t="shared" si="105"/>
        <v>32.687209100000004</v>
      </c>
      <c r="AP53" s="82">
        <f t="shared" si="84"/>
        <v>32.687209100000004</v>
      </c>
      <c r="AQ53" s="83">
        <f t="shared" si="106"/>
        <v>32.687209100000004</v>
      </c>
      <c r="AR53" s="83">
        <f t="shared" si="85"/>
        <v>32.687209100000004</v>
      </c>
      <c r="AS53" s="83">
        <v>0</v>
      </c>
      <c r="AT53" s="83">
        <f t="shared" si="107"/>
        <v>0</v>
      </c>
      <c r="AU53" s="83">
        <v>0</v>
      </c>
      <c r="AV53" s="83">
        <f t="shared" si="108"/>
        <v>0</v>
      </c>
      <c r="AW53" s="83">
        <f t="shared" si="109"/>
        <v>32.687209100000004</v>
      </c>
      <c r="AX53" s="83">
        <f t="shared" si="86"/>
        <v>32.687209100000004</v>
      </c>
    </row>
    <row r="54" spans="2:50" x14ac:dyDescent="0.35">
      <c r="B54" s="7" t="s">
        <v>142</v>
      </c>
      <c r="C54" s="78">
        <v>1.1244215430000002</v>
      </c>
      <c r="D54" s="78">
        <v>1.1244215430000002</v>
      </c>
      <c r="E54" s="78">
        <v>0.41055119800000001</v>
      </c>
      <c r="F54" s="78">
        <f t="shared" si="87"/>
        <v>0.41068092584680566</v>
      </c>
      <c r="G54" s="78">
        <v>0</v>
      </c>
      <c r="H54" s="78">
        <f t="shared" si="88"/>
        <v>0</v>
      </c>
      <c r="I54" s="78">
        <f t="shared" si="89"/>
        <v>1.5349727410000003</v>
      </c>
      <c r="J54" s="78">
        <f t="shared" si="76"/>
        <v>1.5351024688468058</v>
      </c>
      <c r="K54" s="79">
        <f t="shared" si="90"/>
        <v>1.5349727410000003</v>
      </c>
      <c r="L54" s="79">
        <f t="shared" si="77"/>
        <v>1.5351024688468058</v>
      </c>
      <c r="M54" s="79">
        <v>0</v>
      </c>
      <c r="N54" s="79">
        <f t="shared" si="91"/>
        <v>0</v>
      </c>
      <c r="O54" s="79">
        <v>0</v>
      </c>
      <c r="P54" s="79">
        <f t="shared" si="92"/>
        <v>0</v>
      </c>
      <c r="Q54" s="79">
        <f t="shared" si="93"/>
        <v>1.5349727410000003</v>
      </c>
      <c r="R54" s="79">
        <f t="shared" si="78"/>
        <v>1.5351024688468058</v>
      </c>
      <c r="S54" s="80">
        <f t="shared" si="94"/>
        <v>1.5349727410000003</v>
      </c>
      <c r="T54" s="80">
        <f t="shared" si="79"/>
        <v>1.5351024688468058</v>
      </c>
      <c r="U54" s="80">
        <v>1.7765</v>
      </c>
      <c r="V54" s="80">
        <f t="shared" si="95"/>
        <v>1.7759809790158205</v>
      </c>
      <c r="W54" s="80">
        <v>0</v>
      </c>
      <c r="X54" s="80">
        <f t="shared" si="96"/>
        <v>0</v>
      </c>
      <c r="Y54" s="80">
        <f t="shared" si="97"/>
        <v>3.3114727410000002</v>
      </c>
      <c r="Z54" s="80">
        <f t="shared" si="80"/>
        <v>3.3110834478626261</v>
      </c>
      <c r="AA54" s="81">
        <f t="shared" si="98"/>
        <v>3.3114727410000002</v>
      </c>
      <c r="AB54" s="81">
        <f t="shared" si="81"/>
        <v>3.3110834478626261</v>
      </c>
      <c r="AC54" s="81">
        <v>0</v>
      </c>
      <c r="AD54" s="81">
        <f t="shared" si="99"/>
        <v>0</v>
      </c>
      <c r="AE54" s="81">
        <v>0</v>
      </c>
      <c r="AF54" s="81">
        <f t="shared" si="100"/>
        <v>0</v>
      </c>
      <c r="AG54" s="81">
        <f t="shared" si="101"/>
        <v>3.3114727410000002</v>
      </c>
      <c r="AH54" s="81">
        <f t="shared" si="82"/>
        <v>3.3110834478626261</v>
      </c>
      <c r="AI54" s="82">
        <f t="shared" si="102"/>
        <v>3.3114727410000002</v>
      </c>
      <c r="AJ54" s="82">
        <f t="shared" si="83"/>
        <v>3.3110834478626261</v>
      </c>
      <c r="AK54" s="82">
        <v>0</v>
      </c>
      <c r="AL54" s="82">
        <f t="shared" si="103"/>
        <v>0</v>
      </c>
      <c r="AM54" s="82">
        <v>0</v>
      </c>
      <c r="AN54" s="82">
        <f t="shared" si="104"/>
        <v>0</v>
      </c>
      <c r="AO54" s="82">
        <f t="shared" si="105"/>
        <v>3.3114727410000002</v>
      </c>
      <c r="AP54" s="82">
        <f t="shared" si="84"/>
        <v>3.3110834478626261</v>
      </c>
      <c r="AQ54" s="83">
        <f t="shared" si="106"/>
        <v>3.3114727410000002</v>
      </c>
      <c r="AR54" s="83">
        <f t="shared" si="85"/>
        <v>3.3110834478626261</v>
      </c>
      <c r="AS54" s="83">
        <v>0</v>
      </c>
      <c r="AT54" s="83">
        <f t="shared" si="107"/>
        <v>0</v>
      </c>
      <c r="AU54" s="83">
        <v>0</v>
      </c>
      <c r="AV54" s="83">
        <f t="shared" si="108"/>
        <v>0</v>
      </c>
      <c r="AW54" s="83">
        <f t="shared" si="109"/>
        <v>3.3114727410000002</v>
      </c>
      <c r="AX54" s="83">
        <f t="shared" si="86"/>
        <v>3.3110834478626261</v>
      </c>
    </row>
    <row r="55" spans="2:50" x14ac:dyDescent="0.35">
      <c r="B55" s="7" t="s">
        <v>143</v>
      </c>
      <c r="C55" s="78">
        <v>1.8391429479999999</v>
      </c>
      <c r="D55" s="78">
        <v>1.8391429479999999</v>
      </c>
      <c r="E55" s="78">
        <v>0.55865989999999999</v>
      </c>
      <c r="F55" s="78">
        <f t="shared" si="87"/>
        <v>0.55883642791241805</v>
      </c>
      <c r="G55" s="78">
        <v>0</v>
      </c>
      <c r="H55" s="78">
        <f t="shared" si="88"/>
        <v>0</v>
      </c>
      <c r="I55" s="78">
        <f t="shared" si="89"/>
        <v>2.397802848</v>
      </c>
      <c r="J55" s="78">
        <f t="shared" si="76"/>
        <v>2.3979793759124179</v>
      </c>
      <c r="K55" s="79">
        <f t="shared" si="90"/>
        <v>2.397802848</v>
      </c>
      <c r="L55" s="79">
        <f t="shared" si="77"/>
        <v>2.3979793759124179</v>
      </c>
      <c r="M55" s="79">
        <v>2.6599999999999999E-2</v>
      </c>
      <c r="N55" s="79">
        <f t="shared" si="91"/>
        <v>2.6244895336258494E-2</v>
      </c>
      <c r="O55" s="79">
        <v>0</v>
      </c>
      <c r="P55" s="79">
        <f t="shared" si="92"/>
        <v>0</v>
      </c>
      <c r="Q55" s="79">
        <f t="shared" si="93"/>
        <v>2.4244028480000002</v>
      </c>
      <c r="R55" s="79">
        <f t="shared" si="78"/>
        <v>2.4242242712486766</v>
      </c>
      <c r="S55" s="80">
        <f t="shared" si="94"/>
        <v>2.4244028480000002</v>
      </c>
      <c r="T55" s="80">
        <f t="shared" si="79"/>
        <v>2.4242242712486766</v>
      </c>
      <c r="U55" s="80">
        <v>0.18347513100000001</v>
      </c>
      <c r="V55" s="80">
        <f t="shared" si="95"/>
        <v>0.18342152703542694</v>
      </c>
      <c r="W55" s="80">
        <v>0</v>
      </c>
      <c r="X55" s="80">
        <f t="shared" si="96"/>
        <v>0</v>
      </c>
      <c r="Y55" s="80">
        <f t="shared" si="97"/>
        <v>2.6078779790000004</v>
      </c>
      <c r="Z55" s="80">
        <f t="shared" si="80"/>
        <v>2.6076457982841035</v>
      </c>
      <c r="AA55" s="81">
        <f t="shared" si="98"/>
        <v>2.6078779790000004</v>
      </c>
      <c r="AB55" s="81">
        <f t="shared" si="81"/>
        <v>2.6076457982841035</v>
      </c>
      <c r="AC55" s="81">
        <v>0</v>
      </c>
      <c r="AD55" s="81">
        <f t="shared" si="99"/>
        <v>0</v>
      </c>
      <c r="AE55" s="81">
        <v>0</v>
      </c>
      <c r="AF55" s="81">
        <f t="shared" si="100"/>
        <v>0</v>
      </c>
      <c r="AG55" s="81">
        <f t="shared" si="101"/>
        <v>2.6078779790000004</v>
      </c>
      <c r="AH55" s="81">
        <f t="shared" si="82"/>
        <v>2.6076457982841035</v>
      </c>
      <c r="AI55" s="82">
        <f t="shared" si="102"/>
        <v>2.6078779790000004</v>
      </c>
      <c r="AJ55" s="82">
        <f t="shared" si="83"/>
        <v>2.6076457982841035</v>
      </c>
      <c r="AK55" s="82">
        <v>0</v>
      </c>
      <c r="AL55" s="82">
        <f t="shared" si="103"/>
        <v>0</v>
      </c>
      <c r="AM55" s="82">
        <v>0</v>
      </c>
      <c r="AN55" s="82">
        <f t="shared" si="104"/>
        <v>0</v>
      </c>
      <c r="AO55" s="82">
        <f t="shared" si="105"/>
        <v>2.6078779790000004</v>
      </c>
      <c r="AP55" s="82">
        <f t="shared" si="84"/>
        <v>2.6076457982841035</v>
      </c>
      <c r="AQ55" s="83">
        <f t="shared" si="106"/>
        <v>2.6078779790000004</v>
      </c>
      <c r="AR55" s="83">
        <f t="shared" si="85"/>
        <v>2.6076457982841035</v>
      </c>
      <c r="AS55" s="83">
        <v>0</v>
      </c>
      <c r="AT55" s="83">
        <f t="shared" si="107"/>
        <v>0</v>
      </c>
      <c r="AU55" s="83">
        <v>0</v>
      </c>
      <c r="AV55" s="83">
        <f t="shared" si="108"/>
        <v>0</v>
      </c>
      <c r="AW55" s="83">
        <f t="shared" si="109"/>
        <v>2.6078779790000004</v>
      </c>
      <c r="AX55" s="83">
        <f t="shared" si="86"/>
        <v>2.6076457982841035</v>
      </c>
    </row>
    <row r="56" spans="2:50" x14ac:dyDescent="0.35">
      <c r="B56" s="7" t="s">
        <v>144</v>
      </c>
      <c r="C56" s="78">
        <v>4.2933543585331737</v>
      </c>
      <c r="D56" s="78">
        <v>4.2933543585331737</v>
      </c>
      <c r="E56" s="78">
        <v>0</v>
      </c>
      <c r="F56" s="78">
        <f t="shared" si="87"/>
        <v>0</v>
      </c>
      <c r="G56" s="78">
        <v>0</v>
      </c>
      <c r="H56" s="78">
        <f t="shared" si="88"/>
        <v>0</v>
      </c>
      <c r="I56" s="78">
        <f t="shared" si="89"/>
        <v>4.2933543585331737</v>
      </c>
      <c r="J56" s="78">
        <f t="shared" si="76"/>
        <v>4.2933543585331737</v>
      </c>
      <c r="K56" s="79">
        <f t="shared" si="90"/>
        <v>4.2933543585331737</v>
      </c>
      <c r="L56" s="79">
        <f t="shared" si="77"/>
        <v>4.2933543585331737</v>
      </c>
      <c r="M56" s="79">
        <v>0</v>
      </c>
      <c r="N56" s="79">
        <f t="shared" si="91"/>
        <v>0</v>
      </c>
      <c r="O56" s="79">
        <v>2.8153600000000001E-2</v>
      </c>
      <c r="P56" s="79">
        <f t="shared" si="92"/>
        <v>2.8153600000000001E-2</v>
      </c>
      <c r="Q56" s="79">
        <f t="shared" si="93"/>
        <v>4.2652007585331742</v>
      </c>
      <c r="R56" s="79">
        <f t="shared" si="78"/>
        <v>4.2652007585331742</v>
      </c>
      <c r="S56" s="80">
        <f t="shared" si="94"/>
        <v>4.2652007585331742</v>
      </c>
      <c r="T56" s="80">
        <f t="shared" si="79"/>
        <v>4.2652007585331742</v>
      </c>
      <c r="U56" s="80">
        <v>0</v>
      </c>
      <c r="V56" s="80">
        <f t="shared" si="95"/>
        <v>0</v>
      </c>
      <c r="W56" s="80">
        <v>0</v>
      </c>
      <c r="X56" s="80">
        <f t="shared" si="96"/>
        <v>0</v>
      </c>
      <c r="Y56" s="80">
        <f t="shared" si="97"/>
        <v>4.2652007585331742</v>
      </c>
      <c r="Z56" s="80">
        <f t="shared" si="80"/>
        <v>4.2652007585331742</v>
      </c>
      <c r="AA56" s="81">
        <f t="shared" si="98"/>
        <v>4.2652007585331742</v>
      </c>
      <c r="AB56" s="81">
        <f t="shared" si="81"/>
        <v>4.2652007585331742</v>
      </c>
      <c r="AC56" s="81">
        <v>0</v>
      </c>
      <c r="AD56" s="81">
        <f t="shared" si="99"/>
        <v>0</v>
      </c>
      <c r="AE56" s="81">
        <v>0</v>
      </c>
      <c r="AF56" s="81">
        <f t="shared" si="100"/>
        <v>0</v>
      </c>
      <c r="AG56" s="81">
        <f t="shared" si="101"/>
        <v>4.2652007585331742</v>
      </c>
      <c r="AH56" s="81">
        <f t="shared" si="82"/>
        <v>4.2652007585331742</v>
      </c>
      <c r="AI56" s="82">
        <f t="shared" si="102"/>
        <v>4.2652007585331742</v>
      </c>
      <c r="AJ56" s="82">
        <f t="shared" si="83"/>
        <v>4.2652007585331742</v>
      </c>
      <c r="AK56" s="82">
        <v>0</v>
      </c>
      <c r="AL56" s="82">
        <f t="shared" si="103"/>
        <v>0</v>
      </c>
      <c r="AM56" s="82">
        <v>0</v>
      </c>
      <c r="AN56" s="82">
        <f t="shared" si="104"/>
        <v>0</v>
      </c>
      <c r="AO56" s="82">
        <f t="shared" si="105"/>
        <v>4.2652007585331742</v>
      </c>
      <c r="AP56" s="82">
        <f t="shared" si="84"/>
        <v>4.2652007585331742</v>
      </c>
      <c r="AQ56" s="83">
        <f t="shared" si="106"/>
        <v>4.2652007585331742</v>
      </c>
      <c r="AR56" s="83">
        <f t="shared" si="85"/>
        <v>4.2652007585331742</v>
      </c>
      <c r="AS56" s="83">
        <v>0</v>
      </c>
      <c r="AT56" s="83">
        <f t="shared" si="107"/>
        <v>0</v>
      </c>
      <c r="AU56" s="83">
        <v>0</v>
      </c>
      <c r="AV56" s="83">
        <f t="shared" si="108"/>
        <v>0</v>
      </c>
      <c r="AW56" s="83">
        <f t="shared" si="109"/>
        <v>4.2652007585331742</v>
      </c>
      <c r="AX56" s="83">
        <f t="shared" si="86"/>
        <v>4.2652007585331742</v>
      </c>
    </row>
    <row r="57" spans="2:50" x14ac:dyDescent="0.35">
      <c r="B57" s="7" t="s">
        <v>145</v>
      </c>
      <c r="C57" s="78">
        <v>0</v>
      </c>
      <c r="D57" s="78">
        <v>0</v>
      </c>
      <c r="E57" s="78">
        <v>0</v>
      </c>
      <c r="F57" s="78">
        <f t="shared" si="87"/>
        <v>0</v>
      </c>
      <c r="G57" s="78">
        <v>0</v>
      </c>
      <c r="H57" s="78">
        <f t="shared" si="88"/>
        <v>0</v>
      </c>
      <c r="I57" s="78">
        <f t="shared" si="89"/>
        <v>0</v>
      </c>
      <c r="J57" s="78">
        <f t="shared" si="76"/>
        <v>0</v>
      </c>
      <c r="K57" s="79">
        <f t="shared" si="90"/>
        <v>0</v>
      </c>
      <c r="L57" s="79">
        <f t="shared" si="77"/>
        <v>0</v>
      </c>
      <c r="M57" s="79">
        <v>0</v>
      </c>
      <c r="N57" s="79">
        <f t="shared" si="91"/>
        <v>0</v>
      </c>
      <c r="O57" s="79">
        <v>0</v>
      </c>
      <c r="P57" s="79">
        <f t="shared" si="92"/>
        <v>0</v>
      </c>
      <c r="Q57" s="79">
        <f t="shared" si="93"/>
        <v>0</v>
      </c>
      <c r="R57" s="79">
        <f t="shared" si="78"/>
        <v>0</v>
      </c>
      <c r="S57" s="80">
        <f t="shared" si="94"/>
        <v>0</v>
      </c>
      <c r="T57" s="80">
        <f t="shared" si="79"/>
        <v>0</v>
      </c>
      <c r="U57" s="80">
        <v>0</v>
      </c>
      <c r="V57" s="80">
        <f t="shared" si="95"/>
        <v>0</v>
      </c>
      <c r="W57" s="80">
        <v>0</v>
      </c>
      <c r="X57" s="80">
        <f t="shared" si="96"/>
        <v>0</v>
      </c>
      <c r="Y57" s="80">
        <f t="shared" si="97"/>
        <v>0</v>
      </c>
      <c r="Z57" s="80">
        <f t="shared" si="80"/>
        <v>0</v>
      </c>
      <c r="AA57" s="81">
        <f t="shared" si="98"/>
        <v>0</v>
      </c>
      <c r="AB57" s="81">
        <f t="shared" si="81"/>
        <v>0</v>
      </c>
      <c r="AC57" s="81">
        <v>0</v>
      </c>
      <c r="AD57" s="81">
        <f t="shared" si="99"/>
        <v>0</v>
      </c>
      <c r="AE57" s="81">
        <v>0</v>
      </c>
      <c r="AF57" s="81">
        <f t="shared" si="100"/>
        <v>0</v>
      </c>
      <c r="AG57" s="81">
        <f t="shared" si="101"/>
        <v>0</v>
      </c>
      <c r="AH57" s="81">
        <f t="shared" si="82"/>
        <v>0</v>
      </c>
      <c r="AI57" s="82">
        <f t="shared" si="102"/>
        <v>0</v>
      </c>
      <c r="AJ57" s="82">
        <f t="shared" si="83"/>
        <v>0</v>
      </c>
      <c r="AK57" s="82">
        <v>0</v>
      </c>
      <c r="AL57" s="82">
        <f t="shared" si="103"/>
        <v>0</v>
      </c>
      <c r="AM57" s="82">
        <v>0</v>
      </c>
      <c r="AN57" s="82">
        <f t="shared" si="104"/>
        <v>0</v>
      </c>
      <c r="AO57" s="82">
        <f t="shared" si="105"/>
        <v>0</v>
      </c>
      <c r="AP57" s="82">
        <f t="shared" si="84"/>
        <v>0</v>
      </c>
      <c r="AQ57" s="83">
        <f t="shared" si="106"/>
        <v>0</v>
      </c>
      <c r="AR57" s="83">
        <f t="shared" si="85"/>
        <v>0</v>
      </c>
      <c r="AS57" s="83">
        <v>0</v>
      </c>
      <c r="AT57" s="83">
        <f t="shared" si="107"/>
        <v>0</v>
      </c>
      <c r="AU57" s="83">
        <v>0</v>
      </c>
      <c r="AV57" s="83">
        <f t="shared" si="108"/>
        <v>0</v>
      </c>
      <c r="AW57" s="83">
        <f t="shared" si="109"/>
        <v>0</v>
      </c>
      <c r="AX57" s="83">
        <f t="shared" si="86"/>
        <v>0</v>
      </c>
    </row>
    <row r="58" spans="2:50" x14ac:dyDescent="0.35">
      <c r="B58" s="7" t="s">
        <v>146</v>
      </c>
      <c r="C58" s="78">
        <v>0</v>
      </c>
      <c r="D58" s="78">
        <v>0</v>
      </c>
      <c r="E58" s="78">
        <v>0.17950618999999998</v>
      </c>
      <c r="F58" s="78">
        <f t="shared" si="87"/>
        <v>0.17956291118758982</v>
      </c>
      <c r="G58" s="78">
        <v>0</v>
      </c>
      <c r="H58" s="78">
        <f t="shared" si="88"/>
        <v>0</v>
      </c>
      <c r="I58" s="78">
        <f t="shared" si="89"/>
        <v>0.17950618999999998</v>
      </c>
      <c r="J58" s="78">
        <f t="shared" si="76"/>
        <v>0.17956291118758982</v>
      </c>
      <c r="K58" s="79">
        <f t="shared" si="90"/>
        <v>0.17950618999999998</v>
      </c>
      <c r="L58" s="79">
        <f t="shared" si="77"/>
        <v>0.17956291118758982</v>
      </c>
      <c r="M58" s="79">
        <v>1.027889579</v>
      </c>
      <c r="N58" s="79">
        <f t="shared" si="91"/>
        <v>1.014167459326534</v>
      </c>
      <c r="O58" s="79">
        <v>0.78635466700000001</v>
      </c>
      <c r="P58" s="79">
        <f t="shared" si="92"/>
        <v>0.78635466700000001</v>
      </c>
      <c r="Q58" s="79">
        <f t="shared" si="93"/>
        <v>0.42104110199999989</v>
      </c>
      <c r="R58" s="79">
        <f t="shared" si="78"/>
        <v>0.40737570351412378</v>
      </c>
      <c r="S58" s="80">
        <f t="shared" si="94"/>
        <v>0.42104110199999989</v>
      </c>
      <c r="T58" s="80">
        <f t="shared" si="79"/>
        <v>0.40737570351412378</v>
      </c>
      <c r="U58" s="80">
        <v>0.72842070199999998</v>
      </c>
      <c r="V58" s="80">
        <f t="shared" si="95"/>
        <v>0.72820788712262952</v>
      </c>
      <c r="W58" s="80">
        <v>0.26301750000000002</v>
      </c>
      <c r="X58" s="80">
        <f t="shared" si="96"/>
        <v>0.26301750000000002</v>
      </c>
      <c r="Y58" s="80">
        <f t="shared" si="97"/>
        <v>0.88644430399999996</v>
      </c>
      <c r="Z58" s="80">
        <f t="shared" si="80"/>
        <v>0.87256609063675328</v>
      </c>
      <c r="AA58" s="81">
        <f t="shared" si="98"/>
        <v>0.88644430399999996</v>
      </c>
      <c r="AB58" s="81">
        <f t="shared" si="81"/>
        <v>0.87256609063675328</v>
      </c>
      <c r="AC58" s="81">
        <v>0</v>
      </c>
      <c r="AD58" s="81">
        <f t="shared" si="99"/>
        <v>0</v>
      </c>
      <c r="AE58" s="81">
        <v>0</v>
      </c>
      <c r="AF58" s="81">
        <f t="shared" si="100"/>
        <v>0</v>
      </c>
      <c r="AG58" s="81">
        <f t="shared" si="101"/>
        <v>0.88644430399999996</v>
      </c>
      <c r="AH58" s="81">
        <f t="shared" si="82"/>
        <v>0.87256609063675328</v>
      </c>
      <c r="AI58" s="82">
        <f t="shared" si="102"/>
        <v>0.88644430399999996</v>
      </c>
      <c r="AJ58" s="82">
        <f t="shared" si="83"/>
        <v>0.87256609063675328</v>
      </c>
      <c r="AK58" s="82">
        <v>0</v>
      </c>
      <c r="AL58" s="82">
        <f t="shared" si="103"/>
        <v>0</v>
      </c>
      <c r="AM58" s="82">
        <v>0</v>
      </c>
      <c r="AN58" s="82">
        <f t="shared" si="104"/>
        <v>0</v>
      </c>
      <c r="AO58" s="82">
        <f t="shared" si="105"/>
        <v>0.88644430399999996</v>
      </c>
      <c r="AP58" s="82">
        <f t="shared" si="84"/>
        <v>0.87256609063675328</v>
      </c>
      <c r="AQ58" s="83">
        <f t="shared" si="106"/>
        <v>0.88644430399999996</v>
      </c>
      <c r="AR58" s="83">
        <f t="shared" si="85"/>
        <v>0.87256609063675328</v>
      </c>
      <c r="AS58" s="83">
        <v>0</v>
      </c>
      <c r="AT58" s="83">
        <f t="shared" si="107"/>
        <v>0</v>
      </c>
      <c r="AU58" s="83">
        <v>0</v>
      </c>
      <c r="AV58" s="83">
        <f t="shared" si="108"/>
        <v>0</v>
      </c>
      <c r="AW58" s="83">
        <f t="shared" si="109"/>
        <v>0.88644430399999996</v>
      </c>
      <c r="AX58" s="83">
        <f t="shared" si="86"/>
        <v>0.87256609063675328</v>
      </c>
    </row>
    <row r="59" spans="2:50" x14ac:dyDescent="0.35">
      <c r="B59" s="7" t="s">
        <v>147</v>
      </c>
      <c r="C59" s="78">
        <v>0</v>
      </c>
      <c r="D59" s="78">
        <v>0</v>
      </c>
      <c r="E59" s="78">
        <v>0</v>
      </c>
      <c r="F59" s="78">
        <f t="shared" si="87"/>
        <v>0</v>
      </c>
      <c r="G59" s="78">
        <v>0.20921480000000001</v>
      </c>
      <c r="H59" s="78">
        <f t="shared" si="88"/>
        <v>0.20921480000000001</v>
      </c>
      <c r="I59" s="78">
        <f t="shared" si="89"/>
        <v>-0.20921480000000001</v>
      </c>
      <c r="J59" s="78">
        <f t="shared" si="76"/>
        <v>-0.20921480000000001</v>
      </c>
      <c r="K59" s="79">
        <f t="shared" si="90"/>
        <v>-0.20921480000000001</v>
      </c>
      <c r="L59" s="79">
        <f t="shared" si="77"/>
        <v>-0.20921480000000001</v>
      </c>
      <c r="M59" s="79">
        <v>0</v>
      </c>
      <c r="N59" s="79">
        <f t="shared" si="91"/>
        <v>0</v>
      </c>
      <c r="O59" s="79">
        <v>0.20516000000000001</v>
      </c>
      <c r="P59" s="79">
        <f t="shared" si="92"/>
        <v>0.20516000000000001</v>
      </c>
      <c r="Q59" s="79">
        <f t="shared" si="93"/>
        <v>-0.41437480000000004</v>
      </c>
      <c r="R59" s="79">
        <f t="shared" si="78"/>
        <v>-0.41437480000000004</v>
      </c>
      <c r="S59" s="80">
        <f t="shared" si="94"/>
        <v>-0.41437480000000004</v>
      </c>
      <c r="T59" s="80">
        <f t="shared" si="79"/>
        <v>-0.41437480000000004</v>
      </c>
      <c r="U59" s="80">
        <v>0</v>
      </c>
      <c r="V59" s="80">
        <f t="shared" si="95"/>
        <v>0</v>
      </c>
      <c r="W59" s="80">
        <v>0</v>
      </c>
      <c r="X59" s="80">
        <f t="shared" si="96"/>
        <v>0</v>
      </c>
      <c r="Y59" s="80">
        <f t="shared" si="97"/>
        <v>-0.41437480000000004</v>
      </c>
      <c r="Z59" s="80">
        <f t="shared" si="80"/>
        <v>-0.41437480000000004</v>
      </c>
      <c r="AA59" s="81">
        <f t="shared" si="98"/>
        <v>-0.41437480000000004</v>
      </c>
      <c r="AB59" s="81">
        <f t="shared" si="81"/>
        <v>-0.41437480000000004</v>
      </c>
      <c r="AC59" s="81">
        <v>0</v>
      </c>
      <c r="AD59" s="81">
        <f t="shared" si="99"/>
        <v>0</v>
      </c>
      <c r="AE59" s="81">
        <v>0</v>
      </c>
      <c r="AF59" s="81">
        <f t="shared" si="100"/>
        <v>0</v>
      </c>
      <c r="AG59" s="81">
        <f t="shared" si="101"/>
        <v>-0.41437480000000004</v>
      </c>
      <c r="AH59" s="81">
        <f t="shared" si="82"/>
        <v>-0.41437480000000004</v>
      </c>
      <c r="AI59" s="82">
        <f t="shared" si="102"/>
        <v>-0.41437480000000004</v>
      </c>
      <c r="AJ59" s="82">
        <f t="shared" si="83"/>
        <v>-0.41437480000000004</v>
      </c>
      <c r="AK59" s="82">
        <v>0</v>
      </c>
      <c r="AL59" s="82">
        <f t="shared" si="103"/>
        <v>0</v>
      </c>
      <c r="AM59" s="82">
        <v>0</v>
      </c>
      <c r="AN59" s="82">
        <f t="shared" si="104"/>
        <v>0</v>
      </c>
      <c r="AO59" s="82">
        <f t="shared" si="105"/>
        <v>-0.41437480000000004</v>
      </c>
      <c r="AP59" s="82">
        <f t="shared" si="84"/>
        <v>-0.41437480000000004</v>
      </c>
      <c r="AQ59" s="83">
        <f t="shared" si="106"/>
        <v>-0.41437480000000004</v>
      </c>
      <c r="AR59" s="83">
        <f t="shared" si="85"/>
        <v>-0.41437480000000004</v>
      </c>
      <c r="AS59" s="83">
        <v>0</v>
      </c>
      <c r="AT59" s="83">
        <f t="shared" si="107"/>
        <v>0</v>
      </c>
      <c r="AU59" s="83">
        <v>0</v>
      </c>
      <c r="AV59" s="83">
        <f t="shared" si="108"/>
        <v>0</v>
      </c>
      <c r="AW59" s="83">
        <f t="shared" si="109"/>
        <v>-0.41437480000000004</v>
      </c>
      <c r="AX59" s="83">
        <f t="shared" si="86"/>
        <v>-0.41437480000000004</v>
      </c>
    </row>
    <row r="60" spans="2:50" x14ac:dyDescent="0.35">
      <c r="B60" s="7" t="s">
        <v>148</v>
      </c>
      <c r="C60" s="78">
        <v>0</v>
      </c>
      <c r="D60" s="78">
        <v>0</v>
      </c>
      <c r="E60" s="78">
        <v>0</v>
      </c>
      <c r="F60" s="78">
        <f t="shared" si="87"/>
        <v>0</v>
      </c>
      <c r="G60" s="78">
        <v>0</v>
      </c>
      <c r="H60" s="78">
        <f t="shared" si="88"/>
        <v>0</v>
      </c>
      <c r="I60" s="78">
        <f t="shared" si="89"/>
        <v>0</v>
      </c>
      <c r="J60" s="78">
        <f t="shared" si="76"/>
        <v>0</v>
      </c>
      <c r="K60" s="79">
        <f t="shared" si="90"/>
        <v>0</v>
      </c>
      <c r="L60" s="79">
        <f t="shared" si="77"/>
        <v>0</v>
      </c>
      <c r="M60" s="79">
        <v>0</v>
      </c>
      <c r="N60" s="79">
        <f t="shared" si="91"/>
        <v>0</v>
      </c>
      <c r="O60" s="79">
        <v>0</v>
      </c>
      <c r="P60" s="79">
        <f t="shared" si="92"/>
        <v>0</v>
      </c>
      <c r="Q60" s="79">
        <f t="shared" si="93"/>
        <v>0</v>
      </c>
      <c r="R60" s="79">
        <f t="shared" si="78"/>
        <v>0</v>
      </c>
      <c r="S60" s="80">
        <f t="shared" si="94"/>
        <v>0</v>
      </c>
      <c r="T60" s="80">
        <f t="shared" si="79"/>
        <v>0</v>
      </c>
      <c r="U60" s="80">
        <v>0</v>
      </c>
      <c r="V60" s="80">
        <f t="shared" si="95"/>
        <v>0</v>
      </c>
      <c r="W60" s="80">
        <v>0</v>
      </c>
      <c r="X60" s="80">
        <f t="shared" si="96"/>
        <v>0</v>
      </c>
      <c r="Y60" s="80">
        <f t="shared" si="97"/>
        <v>0</v>
      </c>
      <c r="Z60" s="80">
        <f t="shared" si="80"/>
        <v>0</v>
      </c>
      <c r="AA60" s="81">
        <f t="shared" si="98"/>
        <v>0</v>
      </c>
      <c r="AB60" s="81">
        <f t="shared" si="81"/>
        <v>0</v>
      </c>
      <c r="AC60" s="81">
        <v>0</v>
      </c>
      <c r="AD60" s="81">
        <f t="shared" si="99"/>
        <v>0</v>
      </c>
      <c r="AE60" s="81">
        <v>0</v>
      </c>
      <c r="AF60" s="81">
        <f t="shared" si="100"/>
        <v>0</v>
      </c>
      <c r="AG60" s="81">
        <f t="shared" si="101"/>
        <v>0</v>
      </c>
      <c r="AH60" s="81">
        <f t="shared" si="82"/>
        <v>0</v>
      </c>
      <c r="AI60" s="82">
        <f t="shared" si="102"/>
        <v>0</v>
      </c>
      <c r="AJ60" s="82">
        <f t="shared" si="83"/>
        <v>0</v>
      </c>
      <c r="AK60" s="82">
        <v>0</v>
      </c>
      <c r="AL60" s="82">
        <f t="shared" si="103"/>
        <v>0</v>
      </c>
      <c r="AM60" s="82">
        <v>0</v>
      </c>
      <c r="AN60" s="82">
        <f t="shared" si="104"/>
        <v>0</v>
      </c>
      <c r="AO60" s="82">
        <f t="shared" si="105"/>
        <v>0</v>
      </c>
      <c r="AP60" s="82">
        <f t="shared" si="84"/>
        <v>0</v>
      </c>
      <c r="AQ60" s="83">
        <f t="shared" si="106"/>
        <v>0</v>
      </c>
      <c r="AR60" s="83">
        <f t="shared" si="85"/>
        <v>0</v>
      </c>
      <c r="AS60" s="83">
        <v>0</v>
      </c>
      <c r="AT60" s="83">
        <f t="shared" si="107"/>
        <v>0</v>
      </c>
      <c r="AU60" s="83">
        <v>0</v>
      </c>
      <c r="AV60" s="83">
        <f t="shared" si="108"/>
        <v>0</v>
      </c>
      <c r="AW60" s="83">
        <f t="shared" si="109"/>
        <v>0</v>
      </c>
      <c r="AX60" s="83">
        <f t="shared" si="86"/>
        <v>0</v>
      </c>
    </row>
    <row r="61" spans="2:50" ht="31" x14ac:dyDescent="0.35">
      <c r="B61" s="84" t="s">
        <v>149</v>
      </c>
      <c r="C61" s="78">
        <v>0</v>
      </c>
      <c r="D61" s="78">
        <v>0</v>
      </c>
      <c r="E61" s="78">
        <v>0</v>
      </c>
      <c r="F61" s="78">
        <f t="shared" si="87"/>
        <v>0</v>
      </c>
      <c r="G61" s="78">
        <v>0</v>
      </c>
      <c r="H61" s="78">
        <f t="shared" si="88"/>
        <v>0</v>
      </c>
      <c r="I61" s="78">
        <f t="shared" si="89"/>
        <v>0</v>
      </c>
      <c r="J61" s="78">
        <f t="shared" si="76"/>
        <v>0</v>
      </c>
      <c r="K61" s="79">
        <f t="shared" si="90"/>
        <v>0</v>
      </c>
      <c r="L61" s="79">
        <f t="shared" si="77"/>
        <v>0</v>
      </c>
      <c r="M61" s="79">
        <v>0</v>
      </c>
      <c r="N61" s="79">
        <f t="shared" si="91"/>
        <v>0</v>
      </c>
      <c r="O61" s="79">
        <v>0</v>
      </c>
      <c r="P61" s="79">
        <f t="shared" si="92"/>
        <v>0</v>
      </c>
      <c r="Q61" s="79">
        <f t="shared" si="93"/>
        <v>0</v>
      </c>
      <c r="R61" s="79">
        <f t="shared" si="78"/>
        <v>0</v>
      </c>
      <c r="S61" s="80">
        <f t="shared" si="94"/>
        <v>0</v>
      </c>
      <c r="T61" s="80">
        <f t="shared" si="79"/>
        <v>0</v>
      </c>
      <c r="U61" s="80">
        <v>0</v>
      </c>
      <c r="V61" s="80">
        <f t="shared" si="95"/>
        <v>0</v>
      </c>
      <c r="W61" s="80">
        <v>0</v>
      </c>
      <c r="X61" s="80">
        <f t="shared" si="96"/>
        <v>0</v>
      </c>
      <c r="Y61" s="80">
        <f t="shared" si="97"/>
        <v>0</v>
      </c>
      <c r="Z61" s="80">
        <f t="shared" si="80"/>
        <v>0</v>
      </c>
      <c r="AA61" s="81">
        <f t="shared" si="98"/>
        <v>0</v>
      </c>
      <c r="AB61" s="81">
        <f t="shared" si="81"/>
        <v>0</v>
      </c>
      <c r="AC61" s="81">
        <v>0</v>
      </c>
      <c r="AD61" s="81">
        <f t="shared" si="99"/>
        <v>0</v>
      </c>
      <c r="AE61" s="81">
        <v>0</v>
      </c>
      <c r="AF61" s="81">
        <f t="shared" si="100"/>
        <v>0</v>
      </c>
      <c r="AG61" s="81">
        <f t="shared" si="101"/>
        <v>0</v>
      </c>
      <c r="AH61" s="81">
        <f t="shared" si="82"/>
        <v>0</v>
      </c>
      <c r="AI61" s="82">
        <f t="shared" si="102"/>
        <v>0</v>
      </c>
      <c r="AJ61" s="82">
        <f t="shared" si="83"/>
        <v>0</v>
      </c>
      <c r="AK61" s="82">
        <v>0</v>
      </c>
      <c r="AL61" s="82">
        <f t="shared" si="103"/>
        <v>0</v>
      </c>
      <c r="AM61" s="82">
        <v>0</v>
      </c>
      <c r="AN61" s="82">
        <f t="shared" si="104"/>
        <v>0</v>
      </c>
      <c r="AO61" s="82">
        <f t="shared" si="105"/>
        <v>0</v>
      </c>
      <c r="AP61" s="82">
        <f t="shared" si="84"/>
        <v>0</v>
      </c>
      <c r="AQ61" s="83">
        <f t="shared" si="106"/>
        <v>0</v>
      </c>
      <c r="AR61" s="83">
        <f t="shared" si="85"/>
        <v>0</v>
      </c>
      <c r="AS61" s="83">
        <v>0</v>
      </c>
      <c r="AT61" s="83">
        <f t="shared" si="107"/>
        <v>0</v>
      </c>
      <c r="AU61" s="83">
        <v>0</v>
      </c>
      <c r="AV61" s="83">
        <f t="shared" si="108"/>
        <v>0</v>
      </c>
      <c r="AW61" s="83">
        <f t="shared" si="109"/>
        <v>0</v>
      </c>
      <c r="AX61" s="83">
        <f t="shared" si="86"/>
        <v>0</v>
      </c>
    </row>
    <row r="62" spans="2:50" x14ac:dyDescent="0.35">
      <c r="B62" s="12" t="s">
        <v>27</v>
      </c>
      <c r="C62" s="85">
        <f>SUM(C45:C61)</f>
        <v>2576.426326584</v>
      </c>
      <c r="D62" s="85">
        <f t="shared" ref="D62:E62" si="110">SUM(D45:D61)</f>
        <v>2576.426326584</v>
      </c>
      <c r="E62" s="85">
        <f t="shared" si="110"/>
        <v>12.006206224</v>
      </c>
      <c r="F62" s="85">
        <v>12.010000000000002</v>
      </c>
      <c r="G62" s="85">
        <f t="shared" ref="G62:M62" si="111">SUM(G45:G61)</f>
        <v>0.315084429</v>
      </c>
      <c r="H62" s="85">
        <f t="shared" si="111"/>
        <v>0.315084429</v>
      </c>
      <c r="I62" s="85">
        <f t="shared" si="111"/>
        <v>2588.1174483790001</v>
      </c>
      <c r="J62" s="85">
        <f t="shared" si="111"/>
        <v>2588.1212421549994</v>
      </c>
      <c r="K62" s="86">
        <f t="shared" si="111"/>
        <v>2588.1174483790001</v>
      </c>
      <c r="L62" s="86">
        <f t="shared" si="111"/>
        <v>2588.1212421549994</v>
      </c>
      <c r="M62" s="86">
        <f t="shared" si="111"/>
        <v>13.956313992</v>
      </c>
      <c r="N62" s="86">
        <v>13.77</v>
      </c>
      <c r="O62" s="86">
        <f t="shared" ref="O62:U62" si="112">SUM(O45:O61)</f>
        <v>3.3054486669999994</v>
      </c>
      <c r="P62" s="86">
        <f t="shared" si="112"/>
        <v>3.3054486669999994</v>
      </c>
      <c r="Q62" s="86">
        <f t="shared" si="112"/>
        <v>2598.7683137039999</v>
      </c>
      <c r="R62" s="86">
        <f t="shared" si="112"/>
        <v>2598.5857934879991</v>
      </c>
      <c r="S62" s="87">
        <f t="shared" si="112"/>
        <v>2598.7683137039999</v>
      </c>
      <c r="T62" s="87">
        <f t="shared" si="112"/>
        <v>2598.5857934879991</v>
      </c>
      <c r="U62" s="87">
        <f t="shared" si="112"/>
        <v>33.249714213000004</v>
      </c>
      <c r="V62" s="87">
        <v>33.239999999999995</v>
      </c>
      <c r="W62" s="87">
        <f t="shared" ref="W62:AC62" si="113">SUM(W45:W61)</f>
        <v>14.671838631</v>
      </c>
      <c r="X62" s="87">
        <f t="shared" si="113"/>
        <v>14.671838631</v>
      </c>
      <c r="Y62" s="87">
        <f t="shared" si="113"/>
        <v>2617.346189286</v>
      </c>
      <c r="Z62" s="87">
        <f t="shared" si="113"/>
        <v>2617.1539548569995</v>
      </c>
      <c r="AA62" s="88">
        <f t="shared" si="113"/>
        <v>2617.346189286</v>
      </c>
      <c r="AB62" s="88">
        <f t="shared" si="113"/>
        <v>2617.1539548569995</v>
      </c>
      <c r="AC62" s="88">
        <f t="shared" si="113"/>
        <v>45.77</v>
      </c>
      <c r="AD62" s="88">
        <v>45.77</v>
      </c>
      <c r="AE62" s="88">
        <f t="shared" ref="AE62:AK62" si="114">SUM(AE45:AE61)</f>
        <v>0</v>
      </c>
      <c r="AF62" s="88">
        <f t="shared" si="114"/>
        <v>0</v>
      </c>
      <c r="AG62" s="88">
        <f t="shared" si="114"/>
        <v>2663.116189286</v>
      </c>
      <c r="AH62" s="88">
        <f t="shared" si="114"/>
        <v>2662.9239548569994</v>
      </c>
      <c r="AI62" s="89">
        <f t="shared" si="114"/>
        <v>2663.116189286</v>
      </c>
      <c r="AJ62" s="89">
        <f t="shared" si="114"/>
        <v>2662.9239548569994</v>
      </c>
      <c r="AK62" s="89">
        <f t="shared" si="114"/>
        <v>649.54</v>
      </c>
      <c r="AL62" s="89">
        <v>421.13</v>
      </c>
      <c r="AM62" s="89">
        <f t="shared" ref="AM62:AS62" si="115">SUM(AM45:AM61)</f>
        <v>0</v>
      </c>
      <c r="AN62" s="89">
        <f t="shared" si="115"/>
        <v>0</v>
      </c>
      <c r="AO62" s="89">
        <f t="shared" si="115"/>
        <v>3312.656189286</v>
      </c>
      <c r="AP62" s="89">
        <f t="shared" si="115"/>
        <v>3084.0539548569996</v>
      </c>
      <c r="AQ62" s="90">
        <f t="shared" si="115"/>
        <v>3312.656189286</v>
      </c>
      <c r="AR62" s="90">
        <f t="shared" si="115"/>
        <v>3084.0539548569996</v>
      </c>
      <c r="AS62" s="90">
        <f t="shared" si="115"/>
        <v>356.29</v>
      </c>
      <c r="AT62" s="90">
        <v>101.01282827980815</v>
      </c>
      <c r="AU62" s="90">
        <f t="shared" ref="AU62:AX62" si="116">SUM(AU45:AU61)</f>
        <v>0</v>
      </c>
      <c r="AV62" s="90">
        <f t="shared" si="116"/>
        <v>0</v>
      </c>
      <c r="AW62" s="90">
        <f t="shared" si="116"/>
        <v>3668.9461892859999</v>
      </c>
      <c r="AX62" s="90">
        <f t="shared" si="116"/>
        <v>3185.0667831368078</v>
      </c>
    </row>
    <row r="63" spans="2:50" s="77" customFormat="1" x14ac:dyDescent="0.35">
      <c r="B63" s="70" t="s">
        <v>44</v>
      </c>
      <c r="C63" s="71"/>
      <c r="D63" s="71"/>
      <c r="E63" s="71"/>
      <c r="F63" s="71"/>
      <c r="G63" s="71"/>
      <c r="H63" s="71"/>
      <c r="I63" s="71"/>
      <c r="J63" s="71"/>
      <c r="K63" s="72"/>
      <c r="L63" s="72"/>
      <c r="M63" s="72"/>
      <c r="N63" s="72"/>
      <c r="O63" s="72"/>
      <c r="P63" s="72"/>
      <c r="Q63" s="72"/>
      <c r="R63" s="72"/>
      <c r="S63" s="73"/>
      <c r="T63" s="73"/>
      <c r="U63" s="73"/>
      <c r="V63" s="73"/>
      <c r="W63" s="73"/>
      <c r="X63" s="73"/>
      <c r="Y63" s="73"/>
      <c r="Z63" s="73"/>
      <c r="AA63" s="74"/>
      <c r="AB63" s="74"/>
      <c r="AC63" s="74"/>
      <c r="AD63" s="74"/>
      <c r="AE63" s="74"/>
      <c r="AF63" s="74"/>
      <c r="AG63" s="74"/>
      <c r="AH63" s="74"/>
      <c r="AI63" s="75"/>
      <c r="AJ63" s="75"/>
      <c r="AK63" s="75"/>
      <c r="AL63" s="75"/>
      <c r="AM63" s="75"/>
      <c r="AN63" s="75"/>
      <c r="AO63" s="75"/>
      <c r="AP63" s="75"/>
      <c r="AQ63" s="76"/>
      <c r="AR63" s="76"/>
      <c r="AS63" s="76"/>
      <c r="AT63" s="76"/>
      <c r="AU63" s="76"/>
      <c r="AV63" s="76"/>
      <c r="AW63" s="76"/>
      <c r="AX63" s="76"/>
    </row>
    <row r="64" spans="2:50" x14ac:dyDescent="0.35">
      <c r="B64" s="7" t="s">
        <v>133</v>
      </c>
      <c r="C64" s="78">
        <v>8.9340925849194797</v>
      </c>
      <c r="D64" s="78">
        <v>8.9340925849194797</v>
      </c>
      <c r="E64" s="78">
        <v>0.62922049999999996</v>
      </c>
      <c r="F64" s="78">
        <f>IFERROR(E64/E$81*F$81,0)</f>
        <v>0.61960383878490699</v>
      </c>
      <c r="G64" s="78">
        <v>0</v>
      </c>
      <c r="H64" s="78">
        <f>G64</f>
        <v>0</v>
      </c>
      <c r="I64" s="78">
        <f>C64+E64-G64</f>
        <v>9.5633130849194803</v>
      </c>
      <c r="J64" s="78">
        <f t="shared" ref="J64:J80" si="117">D64+F64-H64</f>
        <v>9.5536964237043875</v>
      </c>
      <c r="K64" s="79">
        <f>I64</f>
        <v>9.5633130849194803</v>
      </c>
      <c r="L64" s="79">
        <f t="shared" ref="L64:L80" si="118">J64</f>
        <v>9.5536964237043875</v>
      </c>
      <c r="M64" s="79">
        <v>0</v>
      </c>
      <c r="N64" s="79">
        <f>IFERROR(M64/M$81*N$81,0)</f>
        <v>0</v>
      </c>
      <c r="O64" s="79">
        <v>0</v>
      </c>
      <c r="P64" s="79">
        <f>O64</f>
        <v>0</v>
      </c>
      <c r="Q64" s="79">
        <f>K64+M64-O64</f>
        <v>9.5633130849194803</v>
      </c>
      <c r="R64" s="79">
        <f t="shared" ref="R64:R80" si="119">L64+N64-P64</f>
        <v>9.5536964237043875</v>
      </c>
      <c r="S64" s="80">
        <f>Q64</f>
        <v>9.5633130849194803</v>
      </c>
      <c r="T64" s="80">
        <f t="shared" ref="T64:T80" si="120">R64</f>
        <v>9.5536964237043875</v>
      </c>
      <c r="U64" s="80">
        <v>0</v>
      </c>
      <c r="V64" s="80">
        <f>IFERROR(U64/U$81*V$81,0)</f>
        <v>0</v>
      </c>
      <c r="W64" s="80">
        <v>0</v>
      </c>
      <c r="X64" s="80">
        <f>W64</f>
        <v>0</v>
      </c>
      <c r="Y64" s="80">
        <f>S64+U64-W64</f>
        <v>9.5633130849194803</v>
      </c>
      <c r="Z64" s="80">
        <f t="shared" ref="Z64:Z80" si="121">T64+V64-X64</f>
        <v>9.5536964237043875</v>
      </c>
      <c r="AA64" s="81">
        <f>Y64</f>
        <v>9.5633130849194803</v>
      </c>
      <c r="AB64" s="81">
        <f t="shared" ref="AB64:AB80" si="122">Z64</f>
        <v>9.5536964237043875</v>
      </c>
      <c r="AC64" s="81">
        <v>0</v>
      </c>
      <c r="AD64" s="81">
        <f>IFERROR(AC64/AC$81*AD$81,0)</f>
        <v>0</v>
      </c>
      <c r="AE64" s="81">
        <v>0</v>
      </c>
      <c r="AF64" s="81">
        <f>AE64</f>
        <v>0</v>
      </c>
      <c r="AG64" s="81">
        <f>AA64+AC64-AE64</f>
        <v>9.5633130849194803</v>
      </c>
      <c r="AH64" s="81">
        <f t="shared" ref="AH64:AH80" si="123">AB64+AD64-AF64</f>
        <v>9.5536964237043875</v>
      </c>
      <c r="AI64" s="82">
        <f>AG64</f>
        <v>9.5633130849194803</v>
      </c>
      <c r="AJ64" s="82">
        <f t="shared" ref="AJ64:AJ80" si="124">AH64</f>
        <v>9.5536964237043875</v>
      </c>
      <c r="AK64" s="82">
        <v>0</v>
      </c>
      <c r="AL64" s="82">
        <f>IFERROR(AK64/AK$81*AL$81,0)</f>
        <v>0</v>
      </c>
      <c r="AM64" s="82">
        <v>0</v>
      </c>
      <c r="AN64" s="82">
        <f>AM64</f>
        <v>0</v>
      </c>
      <c r="AO64" s="82">
        <f>AI64+AK64-AM64</f>
        <v>9.5633130849194803</v>
      </c>
      <c r="AP64" s="82">
        <f t="shared" ref="AP64:AP80" si="125">AJ64+AL64-AN64</f>
        <v>9.5536964237043875</v>
      </c>
      <c r="AQ64" s="83">
        <f>AO64</f>
        <v>9.5633130849194803</v>
      </c>
      <c r="AR64" s="83">
        <f t="shared" ref="AR64:AR80" si="126">AP64</f>
        <v>9.5536964237043875</v>
      </c>
      <c r="AS64" s="83">
        <v>0</v>
      </c>
      <c r="AT64" s="83">
        <f>IFERROR(AS64/AS$81*AT$81,0)</f>
        <v>0</v>
      </c>
      <c r="AU64" s="83">
        <v>0</v>
      </c>
      <c r="AV64" s="83">
        <f>AU64</f>
        <v>0</v>
      </c>
      <c r="AW64" s="83">
        <f>AQ64+AS64-AU64</f>
        <v>9.5633130849194803</v>
      </c>
      <c r="AX64" s="83">
        <f t="shared" ref="AX64:AX80" si="127">AR64+AT64-AV64</f>
        <v>9.5536964237043875</v>
      </c>
    </row>
    <row r="65" spans="2:50" x14ac:dyDescent="0.35">
      <c r="B65" s="7" t="s">
        <v>134</v>
      </c>
      <c r="C65" s="78">
        <v>41.608737900000008</v>
      </c>
      <c r="D65" s="78">
        <v>41.608737900000008</v>
      </c>
      <c r="E65" s="78">
        <v>0</v>
      </c>
      <c r="F65" s="78">
        <f t="shared" ref="F65:F80" si="128">IFERROR(E65/E$81*F$81,0)</f>
        <v>0</v>
      </c>
      <c r="G65" s="78">
        <v>0</v>
      </c>
      <c r="H65" s="78">
        <f t="shared" ref="H65:H80" si="129">G65</f>
        <v>0</v>
      </c>
      <c r="I65" s="78">
        <f t="shared" ref="I65:I80" si="130">C65+E65-G65</f>
        <v>41.608737900000008</v>
      </c>
      <c r="J65" s="78">
        <f t="shared" si="117"/>
        <v>41.608737900000008</v>
      </c>
      <c r="K65" s="79">
        <f t="shared" ref="K65:K80" si="131">I65</f>
        <v>41.608737900000008</v>
      </c>
      <c r="L65" s="79">
        <f t="shared" si="118"/>
        <v>41.608737900000008</v>
      </c>
      <c r="M65" s="79">
        <v>0</v>
      </c>
      <c r="N65" s="79">
        <f t="shared" ref="N65:N80" si="132">IFERROR(M65/M$81*N$81,0)</f>
        <v>0</v>
      </c>
      <c r="O65" s="79">
        <v>0</v>
      </c>
      <c r="P65" s="79">
        <f t="shared" ref="P65:P80" si="133">O65</f>
        <v>0</v>
      </c>
      <c r="Q65" s="79">
        <f t="shared" ref="Q65:Q80" si="134">K65+M65-O65</f>
        <v>41.608737900000008</v>
      </c>
      <c r="R65" s="79">
        <f t="shared" si="119"/>
        <v>41.608737900000008</v>
      </c>
      <c r="S65" s="80">
        <f t="shared" ref="S65:S80" si="135">Q65</f>
        <v>41.608737900000008</v>
      </c>
      <c r="T65" s="80">
        <f t="shared" si="120"/>
        <v>41.608737900000008</v>
      </c>
      <c r="U65" s="80">
        <v>0</v>
      </c>
      <c r="V65" s="80">
        <f t="shared" ref="V65:V80" si="136">IFERROR(U65/U$81*V$81,0)</f>
        <v>0</v>
      </c>
      <c r="W65" s="80">
        <v>0.25830363300000003</v>
      </c>
      <c r="X65" s="80">
        <f t="shared" ref="X65:X80" si="137">W65</f>
        <v>0.25830363300000003</v>
      </c>
      <c r="Y65" s="80">
        <f t="shared" ref="Y65:Y80" si="138">S65+U65-W65</f>
        <v>41.350434267000011</v>
      </c>
      <c r="Z65" s="80">
        <f t="shared" si="121"/>
        <v>41.350434267000011</v>
      </c>
      <c r="AA65" s="81">
        <f t="shared" ref="AA65:AA80" si="139">Y65</f>
        <v>41.350434267000011</v>
      </c>
      <c r="AB65" s="81">
        <f t="shared" si="122"/>
        <v>41.350434267000011</v>
      </c>
      <c r="AC65" s="81">
        <v>0</v>
      </c>
      <c r="AD65" s="81">
        <f t="shared" ref="AD65:AD80" si="140">IFERROR(AC65/AC$81*AD$81,0)</f>
        <v>0</v>
      </c>
      <c r="AE65" s="81">
        <v>0</v>
      </c>
      <c r="AF65" s="81">
        <f t="shared" ref="AF65:AF80" si="141">AE65</f>
        <v>0</v>
      </c>
      <c r="AG65" s="81">
        <f t="shared" ref="AG65:AG80" si="142">AA65+AC65-AE65</f>
        <v>41.350434267000011</v>
      </c>
      <c r="AH65" s="81">
        <f t="shared" si="123"/>
        <v>41.350434267000011</v>
      </c>
      <c r="AI65" s="82">
        <f t="shared" ref="AI65:AI80" si="143">AG65</f>
        <v>41.350434267000011</v>
      </c>
      <c r="AJ65" s="82">
        <f t="shared" si="124"/>
        <v>41.350434267000011</v>
      </c>
      <c r="AK65" s="82">
        <v>0</v>
      </c>
      <c r="AL65" s="82">
        <f t="shared" ref="AL65:AL80" si="144">IFERROR(AK65/AK$81*AL$81,0)</f>
        <v>0</v>
      </c>
      <c r="AM65" s="82">
        <v>0</v>
      </c>
      <c r="AN65" s="82">
        <f t="shared" ref="AN65:AN80" si="145">AM65</f>
        <v>0</v>
      </c>
      <c r="AO65" s="82">
        <f t="shared" ref="AO65:AO80" si="146">AI65+AK65-AM65</f>
        <v>41.350434267000011</v>
      </c>
      <c r="AP65" s="82">
        <f t="shared" si="125"/>
        <v>41.350434267000011</v>
      </c>
      <c r="AQ65" s="83">
        <f t="shared" ref="AQ65:AQ80" si="147">AO65</f>
        <v>41.350434267000011</v>
      </c>
      <c r="AR65" s="83">
        <f t="shared" si="126"/>
        <v>41.350434267000011</v>
      </c>
      <c r="AS65" s="83">
        <v>0</v>
      </c>
      <c r="AT65" s="83">
        <f t="shared" ref="AT65:AT80" si="148">IFERROR(AS65/AS$81*AT$81,0)</f>
        <v>0</v>
      </c>
      <c r="AU65" s="83">
        <v>0</v>
      </c>
      <c r="AV65" s="83">
        <f t="shared" ref="AV65:AV80" si="149">AU65</f>
        <v>0</v>
      </c>
      <c r="AW65" s="83">
        <f t="shared" ref="AW65:AW80" si="150">AQ65+AS65-AU65</f>
        <v>41.350434267000011</v>
      </c>
      <c r="AX65" s="83">
        <f t="shared" si="127"/>
        <v>41.350434267000011</v>
      </c>
    </row>
    <row r="66" spans="2:50" ht="31" x14ac:dyDescent="0.35">
      <c r="B66" s="84" t="s">
        <v>135</v>
      </c>
      <c r="C66" s="78">
        <v>0</v>
      </c>
      <c r="D66" s="78">
        <v>0</v>
      </c>
      <c r="E66" s="78">
        <v>0</v>
      </c>
      <c r="F66" s="78">
        <f t="shared" si="128"/>
        <v>0</v>
      </c>
      <c r="G66" s="78">
        <v>0</v>
      </c>
      <c r="H66" s="78">
        <f t="shared" si="129"/>
        <v>0</v>
      </c>
      <c r="I66" s="78">
        <f t="shared" si="130"/>
        <v>0</v>
      </c>
      <c r="J66" s="78">
        <f t="shared" si="117"/>
        <v>0</v>
      </c>
      <c r="K66" s="79">
        <f t="shared" si="131"/>
        <v>0</v>
      </c>
      <c r="L66" s="79">
        <f t="shared" si="118"/>
        <v>0</v>
      </c>
      <c r="M66" s="79">
        <v>0</v>
      </c>
      <c r="N66" s="79">
        <f t="shared" si="132"/>
        <v>0</v>
      </c>
      <c r="O66" s="79">
        <v>0</v>
      </c>
      <c r="P66" s="79">
        <f t="shared" si="133"/>
        <v>0</v>
      </c>
      <c r="Q66" s="79">
        <f t="shared" si="134"/>
        <v>0</v>
      </c>
      <c r="R66" s="79">
        <f t="shared" si="119"/>
        <v>0</v>
      </c>
      <c r="S66" s="80">
        <f t="shared" si="135"/>
        <v>0</v>
      </c>
      <c r="T66" s="80">
        <f t="shared" si="120"/>
        <v>0</v>
      </c>
      <c r="U66" s="80">
        <v>0</v>
      </c>
      <c r="V66" s="80">
        <f t="shared" si="136"/>
        <v>0</v>
      </c>
      <c r="W66" s="80">
        <v>0</v>
      </c>
      <c r="X66" s="80">
        <f t="shared" si="137"/>
        <v>0</v>
      </c>
      <c r="Y66" s="80">
        <f t="shared" si="138"/>
        <v>0</v>
      </c>
      <c r="Z66" s="80">
        <f t="shared" si="121"/>
        <v>0</v>
      </c>
      <c r="AA66" s="81">
        <f t="shared" si="139"/>
        <v>0</v>
      </c>
      <c r="AB66" s="81">
        <f t="shared" si="122"/>
        <v>0</v>
      </c>
      <c r="AC66" s="81">
        <v>0</v>
      </c>
      <c r="AD66" s="81">
        <f t="shared" si="140"/>
        <v>0</v>
      </c>
      <c r="AE66" s="81">
        <v>0</v>
      </c>
      <c r="AF66" s="81">
        <f t="shared" si="141"/>
        <v>0</v>
      </c>
      <c r="AG66" s="81">
        <f t="shared" si="142"/>
        <v>0</v>
      </c>
      <c r="AH66" s="81">
        <f t="shared" si="123"/>
        <v>0</v>
      </c>
      <c r="AI66" s="82">
        <f t="shared" si="143"/>
        <v>0</v>
      </c>
      <c r="AJ66" s="82">
        <f t="shared" si="124"/>
        <v>0</v>
      </c>
      <c r="AK66" s="82">
        <v>0</v>
      </c>
      <c r="AL66" s="82">
        <f t="shared" si="144"/>
        <v>0</v>
      </c>
      <c r="AM66" s="82">
        <v>0</v>
      </c>
      <c r="AN66" s="82">
        <f t="shared" si="145"/>
        <v>0</v>
      </c>
      <c r="AO66" s="82">
        <f t="shared" si="146"/>
        <v>0</v>
      </c>
      <c r="AP66" s="82">
        <f t="shared" si="125"/>
        <v>0</v>
      </c>
      <c r="AQ66" s="83">
        <f t="shared" si="147"/>
        <v>0</v>
      </c>
      <c r="AR66" s="83">
        <f t="shared" si="126"/>
        <v>0</v>
      </c>
      <c r="AS66" s="83">
        <v>0</v>
      </c>
      <c r="AT66" s="83">
        <f t="shared" si="148"/>
        <v>0</v>
      </c>
      <c r="AU66" s="83">
        <v>0</v>
      </c>
      <c r="AV66" s="83">
        <f t="shared" si="149"/>
        <v>0</v>
      </c>
      <c r="AW66" s="83">
        <f t="shared" si="150"/>
        <v>0</v>
      </c>
      <c r="AX66" s="83">
        <f t="shared" si="127"/>
        <v>0</v>
      </c>
    </row>
    <row r="67" spans="2:50" x14ac:dyDescent="0.35">
      <c r="B67" s="7" t="s">
        <v>136</v>
      </c>
      <c r="C67" s="78">
        <v>27.191425151235617</v>
      </c>
      <c r="D67" s="78">
        <v>27.191425151235617</v>
      </c>
      <c r="E67" s="78">
        <v>0</v>
      </c>
      <c r="F67" s="78">
        <f t="shared" si="128"/>
        <v>0</v>
      </c>
      <c r="G67" s="78">
        <v>0</v>
      </c>
      <c r="H67" s="78">
        <f t="shared" si="129"/>
        <v>0</v>
      </c>
      <c r="I67" s="78">
        <f t="shared" si="130"/>
        <v>27.191425151235617</v>
      </c>
      <c r="J67" s="78">
        <f t="shared" si="117"/>
        <v>27.191425151235617</v>
      </c>
      <c r="K67" s="79">
        <f t="shared" si="131"/>
        <v>27.191425151235617</v>
      </c>
      <c r="L67" s="79">
        <f t="shared" si="118"/>
        <v>27.191425151235617</v>
      </c>
      <c r="M67" s="79">
        <v>9.4440964230000013</v>
      </c>
      <c r="N67" s="79">
        <f t="shared" si="132"/>
        <v>9.0680344536556809</v>
      </c>
      <c r="O67" s="79">
        <v>0</v>
      </c>
      <c r="P67" s="79">
        <f t="shared" si="133"/>
        <v>0</v>
      </c>
      <c r="Q67" s="79">
        <f t="shared" si="134"/>
        <v>36.635521574235618</v>
      </c>
      <c r="R67" s="79">
        <f t="shared" si="119"/>
        <v>36.259459604891298</v>
      </c>
      <c r="S67" s="80">
        <f t="shared" si="135"/>
        <v>36.635521574235618</v>
      </c>
      <c r="T67" s="80">
        <f t="shared" si="120"/>
        <v>36.259459604891298</v>
      </c>
      <c r="U67" s="80">
        <v>0</v>
      </c>
      <c r="V67" s="80">
        <f t="shared" si="136"/>
        <v>0</v>
      </c>
      <c r="W67" s="80">
        <v>3.6880945670000003</v>
      </c>
      <c r="X67" s="80">
        <f t="shared" si="137"/>
        <v>3.6880945670000003</v>
      </c>
      <c r="Y67" s="80">
        <f t="shared" si="138"/>
        <v>32.947427007235618</v>
      </c>
      <c r="Z67" s="80">
        <f t="shared" si="121"/>
        <v>32.571365037891297</v>
      </c>
      <c r="AA67" s="81">
        <f t="shared" si="139"/>
        <v>32.947427007235618</v>
      </c>
      <c r="AB67" s="81">
        <f t="shared" si="122"/>
        <v>32.571365037891297</v>
      </c>
      <c r="AC67" s="81">
        <v>0</v>
      </c>
      <c r="AD67" s="81">
        <f t="shared" si="140"/>
        <v>0</v>
      </c>
      <c r="AE67" s="81">
        <v>0</v>
      </c>
      <c r="AF67" s="81">
        <f t="shared" si="141"/>
        <v>0</v>
      </c>
      <c r="AG67" s="81">
        <f t="shared" si="142"/>
        <v>32.947427007235618</v>
      </c>
      <c r="AH67" s="81">
        <f t="shared" si="123"/>
        <v>32.571365037891297</v>
      </c>
      <c r="AI67" s="82">
        <f t="shared" si="143"/>
        <v>32.947427007235618</v>
      </c>
      <c r="AJ67" s="82">
        <f t="shared" si="124"/>
        <v>32.571365037891297</v>
      </c>
      <c r="AK67" s="82">
        <v>0</v>
      </c>
      <c r="AL67" s="82">
        <f t="shared" si="144"/>
        <v>0</v>
      </c>
      <c r="AM67" s="82">
        <v>0</v>
      </c>
      <c r="AN67" s="82">
        <f t="shared" si="145"/>
        <v>0</v>
      </c>
      <c r="AO67" s="82">
        <f t="shared" si="146"/>
        <v>32.947427007235618</v>
      </c>
      <c r="AP67" s="82">
        <f t="shared" si="125"/>
        <v>32.571365037891297</v>
      </c>
      <c r="AQ67" s="83">
        <f t="shared" si="147"/>
        <v>32.947427007235618</v>
      </c>
      <c r="AR67" s="83">
        <f t="shared" si="126"/>
        <v>32.571365037891297</v>
      </c>
      <c r="AS67" s="83">
        <v>0</v>
      </c>
      <c r="AT67" s="83">
        <f t="shared" si="148"/>
        <v>0</v>
      </c>
      <c r="AU67" s="83">
        <v>0</v>
      </c>
      <c r="AV67" s="83">
        <f t="shared" si="149"/>
        <v>0</v>
      </c>
      <c r="AW67" s="83">
        <f t="shared" si="150"/>
        <v>32.947427007235618</v>
      </c>
      <c r="AX67" s="83">
        <f t="shared" si="127"/>
        <v>32.571365037891297</v>
      </c>
    </row>
    <row r="68" spans="2:50" x14ac:dyDescent="0.35">
      <c r="B68" s="7" t="s">
        <v>137</v>
      </c>
      <c r="C68" s="78">
        <v>63.901504200000005</v>
      </c>
      <c r="D68" s="78">
        <v>63.901504200000005</v>
      </c>
      <c r="E68" s="78">
        <v>16.056768622</v>
      </c>
      <c r="F68" s="78">
        <f t="shared" si="128"/>
        <v>15.811365771891159</v>
      </c>
      <c r="G68" s="78">
        <v>0</v>
      </c>
      <c r="H68" s="78">
        <f t="shared" si="129"/>
        <v>0</v>
      </c>
      <c r="I68" s="78">
        <f t="shared" si="130"/>
        <v>79.958272821999998</v>
      </c>
      <c r="J68" s="78">
        <f t="shared" si="117"/>
        <v>79.712869971891166</v>
      </c>
      <c r="K68" s="79">
        <f t="shared" si="131"/>
        <v>79.958272821999998</v>
      </c>
      <c r="L68" s="79">
        <f t="shared" si="118"/>
        <v>79.712869971891166</v>
      </c>
      <c r="M68" s="79">
        <v>88.099978005000011</v>
      </c>
      <c r="N68" s="79">
        <f t="shared" si="132"/>
        <v>84.591855073613488</v>
      </c>
      <c r="O68" s="79">
        <v>0</v>
      </c>
      <c r="P68" s="79">
        <f t="shared" si="133"/>
        <v>0</v>
      </c>
      <c r="Q68" s="79">
        <f t="shared" si="134"/>
        <v>168.05825082699999</v>
      </c>
      <c r="R68" s="79">
        <f t="shared" si="119"/>
        <v>164.30472504550465</v>
      </c>
      <c r="S68" s="80">
        <f t="shared" si="135"/>
        <v>168.05825082699999</v>
      </c>
      <c r="T68" s="80">
        <f t="shared" si="120"/>
        <v>164.30472504550465</v>
      </c>
      <c r="U68" s="80">
        <v>0</v>
      </c>
      <c r="V68" s="80">
        <f t="shared" si="136"/>
        <v>0</v>
      </c>
      <c r="W68" s="80">
        <v>9.8168436680000006</v>
      </c>
      <c r="X68" s="80">
        <f t="shared" si="137"/>
        <v>9.8168436680000006</v>
      </c>
      <c r="Y68" s="80">
        <f t="shared" si="138"/>
        <v>158.241407159</v>
      </c>
      <c r="Z68" s="80">
        <f t="shared" si="121"/>
        <v>154.48788137750466</v>
      </c>
      <c r="AA68" s="81">
        <f t="shared" si="139"/>
        <v>158.241407159</v>
      </c>
      <c r="AB68" s="81">
        <f t="shared" si="122"/>
        <v>154.48788137750466</v>
      </c>
      <c r="AC68" s="81">
        <v>0</v>
      </c>
      <c r="AD68" s="81">
        <f t="shared" si="140"/>
        <v>0</v>
      </c>
      <c r="AE68" s="81">
        <v>0</v>
      </c>
      <c r="AF68" s="81">
        <f t="shared" si="141"/>
        <v>0</v>
      </c>
      <c r="AG68" s="81">
        <f t="shared" si="142"/>
        <v>158.241407159</v>
      </c>
      <c r="AH68" s="81">
        <f t="shared" si="123"/>
        <v>154.48788137750466</v>
      </c>
      <c r="AI68" s="82">
        <f t="shared" si="143"/>
        <v>158.241407159</v>
      </c>
      <c r="AJ68" s="82">
        <f t="shared" si="124"/>
        <v>154.48788137750466</v>
      </c>
      <c r="AK68" s="82">
        <v>0</v>
      </c>
      <c r="AL68" s="82">
        <f t="shared" si="144"/>
        <v>0</v>
      </c>
      <c r="AM68" s="82">
        <v>0</v>
      </c>
      <c r="AN68" s="82">
        <f t="shared" si="145"/>
        <v>0</v>
      </c>
      <c r="AO68" s="82">
        <f t="shared" si="146"/>
        <v>158.241407159</v>
      </c>
      <c r="AP68" s="82">
        <f t="shared" si="125"/>
        <v>154.48788137750466</v>
      </c>
      <c r="AQ68" s="83">
        <f t="shared" si="147"/>
        <v>158.241407159</v>
      </c>
      <c r="AR68" s="83">
        <f t="shared" si="126"/>
        <v>154.48788137750466</v>
      </c>
      <c r="AS68" s="83">
        <v>0</v>
      </c>
      <c r="AT68" s="83">
        <f t="shared" si="148"/>
        <v>0</v>
      </c>
      <c r="AU68" s="83">
        <v>0</v>
      </c>
      <c r="AV68" s="83">
        <f t="shared" si="149"/>
        <v>0</v>
      </c>
      <c r="AW68" s="83">
        <f t="shared" si="150"/>
        <v>158.241407159</v>
      </c>
      <c r="AX68" s="83">
        <f t="shared" si="127"/>
        <v>154.48788137750466</v>
      </c>
    </row>
    <row r="69" spans="2:50" x14ac:dyDescent="0.35">
      <c r="B69" s="7" t="s">
        <v>138</v>
      </c>
      <c r="C69" s="78">
        <v>1101.2170417471764</v>
      </c>
      <c r="D69" s="78">
        <v>1101.2170417471764</v>
      </c>
      <c r="E69" s="78">
        <v>23.648796589</v>
      </c>
      <c r="F69" s="78">
        <f t="shared" si="128"/>
        <v>23.287361345009923</v>
      </c>
      <c r="G69" s="78">
        <v>0</v>
      </c>
      <c r="H69" s="78">
        <f t="shared" si="129"/>
        <v>0</v>
      </c>
      <c r="I69" s="78">
        <f t="shared" si="130"/>
        <v>1124.8658383361765</v>
      </c>
      <c r="J69" s="78">
        <f t="shared" si="117"/>
        <v>1124.5044030921863</v>
      </c>
      <c r="K69" s="79">
        <f t="shared" si="131"/>
        <v>1124.8658383361765</v>
      </c>
      <c r="L69" s="79">
        <f t="shared" si="118"/>
        <v>1124.5044030921863</v>
      </c>
      <c r="M69" s="79">
        <v>12.310817393999999</v>
      </c>
      <c r="N69" s="79">
        <f t="shared" si="132"/>
        <v>11.820603187572475</v>
      </c>
      <c r="O69" s="79">
        <v>0</v>
      </c>
      <c r="P69" s="79">
        <f t="shared" si="133"/>
        <v>0</v>
      </c>
      <c r="Q69" s="79">
        <f t="shared" si="134"/>
        <v>1137.1766557301764</v>
      </c>
      <c r="R69" s="79">
        <f t="shared" si="119"/>
        <v>1136.3250062797588</v>
      </c>
      <c r="S69" s="80">
        <f t="shared" si="135"/>
        <v>1137.1766557301764</v>
      </c>
      <c r="T69" s="80">
        <f t="shared" si="120"/>
        <v>1136.3250062797588</v>
      </c>
      <c r="U69" s="80">
        <v>8.4975320799999992</v>
      </c>
      <c r="V69" s="80">
        <f t="shared" si="136"/>
        <v>8.4994074276835381</v>
      </c>
      <c r="W69" s="80">
        <v>112.834737844</v>
      </c>
      <c r="X69" s="80">
        <f t="shared" si="137"/>
        <v>112.834737844</v>
      </c>
      <c r="Y69" s="80">
        <f t="shared" si="138"/>
        <v>1032.8394499661763</v>
      </c>
      <c r="Z69" s="80">
        <f t="shared" si="121"/>
        <v>1031.9896758634422</v>
      </c>
      <c r="AA69" s="81">
        <f t="shared" si="139"/>
        <v>1032.8394499661763</v>
      </c>
      <c r="AB69" s="81">
        <f t="shared" si="122"/>
        <v>1031.9896758634422</v>
      </c>
      <c r="AC69" s="81">
        <v>49.47</v>
      </c>
      <c r="AD69" s="81">
        <f t="shared" si="140"/>
        <v>48.269099999999995</v>
      </c>
      <c r="AE69" s="81">
        <v>0</v>
      </c>
      <c r="AF69" s="81">
        <f t="shared" si="141"/>
        <v>0</v>
      </c>
      <c r="AG69" s="81">
        <f t="shared" si="142"/>
        <v>1082.3094499661763</v>
      </c>
      <c r="AH69" s="81">
        <f t="shared" si="123"/>
        <v>1080.2587758634422</v>
      </c>
      <c r="AI69" s="82">
        <f t="shared" si="143"/>
        <v>1082.3094499661763</v>
      </c>
      <c r="AJ69" s="82">
        <f t="shared" si="124"/>
        <v>1080.2587758634422</v>
      </c>
      <c r="AK69" s="82">
        <v>120.3</v>
      </c>
      <c r="AL69" s="82">
        <f t="shared" si="144"/>
        <v>88.809999999999988</v>
      </c>
      <c r="AM69" s="82">
        <v>0</v>
      </c>
      <c r="AN69" s="82">
        <f t="shared" si="145"/>
        <v>0</v>
      </c>
      <c r="AO69" s="82">
        <f t="shared" si="146"/>
        <v>1202.6094499661763</v>
      </c>
      <c r="AP69" s="82">
        <f t="shared" si="125"/>
        <v>1169.0687758634422</v>
      </c>
      <c r="AQ69" s="83">
        <f t="shared" si="147"/>
        <v>1202.6094499661763</v>
      </c>
      <c r="AR69" s="83">
        <f t="shared" si="126"/>
        <v>1169.0687758634422</v>
      </c>
      <c r="AS69" s="83">
        <v>251.45</v>
      </c>
      <c r="AT69" s="83">
        <f t="shared" si="148"/>
        <v>0</v>
      </c>
      <c r="AU69" s="83">
        <v>0</v>
      </c>
      <c r="AV69" s="83">
        <f t="shared" si="149"/>
        <v>0</v>
      </c>
      <c r="AW69" s="83">
        <f t="shared" si="150"/>
        <v>1454.0594499661763</v>
      </c>
      <c r="AX69" s="83">
        <f t="shared" si="127"/>
        <v>1169.0687758634422</v>
      </c>
    </row>
    <row r="70" spans="2:50" x14ac:dyDescent="0.35">
      <c r="B70" s="7" t="s">
        <v>139</v>
      </c>
      <c r="C70" s="78">
        <v>0</v>
      </c>
      <c r="D70" s="78">
        <v>0</v>
      </c>
      <c r="E70" s="78">
        <v>0</v>
      </c>
      <c r="F70" s="78">
        <f t="shared" si="128"/>
        <v>0</v>
      </c>
      <c r="G70" s="78">
        <v>0</v>
      </c>
      <c r="H70" s="78">
        <f t="shared" si="129"/>
        <v>0</v>
      </c>
      <c r="I70" s="78">
        <f t="shared" si="130"/>
        <v>0</v>
      </c>
      <c r="J70" s="78">
        <f t="shared" si="117"/>
        <v>0</v>
      </c>
      <c r="K70" s="79">
        <f t="shared" si="131"/>
        <v>0</v>
      </c>
      <c r="L70" s="79">
        <f t="shared" si="118"/>
        <v>0</v>
      </c>
      <c r="M70" s="79">
        <v>0</v>
      </c>
      <c r="N70" s="79">
        <f t="shared" si="132"/>
        <v>0</v>
      </c>
      <c r="O70" s="79">
        <v>0</v>
      </c>
      <c r="P70" s="79">
        <f t="shared" si="133"/>
        <v>0</v>
      </c>
      <c r="Q70" s="79">
        <f t="shared" si="134"/>
        <v>0</v>
      </c>
      <c r="R70" s="79">
        <f t="shared" si="119"/>
        <v>0</v>
      </c>
      <c r="S70" s="80">
        <f t="shared" si="135"/>
        <v>0</v>
      </c>
      <c r="T70" s="80">
        <f t="shared" si="120"/>
        <v>0</v>
      </c>
      <c r="U70" s="80">
        <v>0</v>
      </c>
      <c r="V70" s="80">
        <f t="shared" si="136"/>
        <v>0</v>
      </c>
      <c r="W70" s="80">
        <v>0</v>
      </c>
      <c r="X70" s="80">
        <f t="shared" si="137"/>
        <v>0</v>
      </c>
      <c r="Y70" s="80">
        <f t="shared" si="138"/>
        <v>0</v>
      </c>
      <c r="Z70" s="80">
        <f t="shared" si="121"/>
        <v>0</v>
      </c>
      <c r="AA70" s="81">
        <f t="shared" si="139"/>
        <v>0</v>
      </c>
      <c r="AB70" s="81">
        <f t="shared" si="122"/>
        <v>0</v>
      </c>
      <c r="AC70" s="81">
        <v>0</v>
      </c>
      <c r="AD70" s="81">
        <f t="shared" si="140"/>
        <v>0</v>
      </c>
      <c r="AE70" s="81">
        <v>0</v>
      </c>
      <c r="AF70" s="81">
        <f t="shared" si="141"/>
        <v>0</v>
      </c>
      <c r="AG70" s="81">
        <f t="shared" si="142"/>
        <v>0</v>
      </c>
      <c r="AH70" s="81">
        <f t="shared" si="123"/>
        <v>0</v>
      </c>
      <c r="AI70" s="82">
        <f t="shared" si="143"/>
        <v>0</v>
      </c>
      <c r="AJ70" s="82">
        <f t="shared" si="124"/>
        <v>0</v>
      </c>
      <c r="AK70" s="82">
        <v>0</v>
      </c>
      <c r="AL70" s="82">
        <f t="shared" si="144"/>
        <v>0</v>
      </c>
      <c r="AM70" s="82">
        <v>0</v>
      </c>
      <c r="AN70" s="82">
        <f t="shared" si="145"/>
        <v>0</v>
      </c>
      <c r="AO70" s="82">
        <f t="shared" si="146"/>
        <v>0</v>
      </c>
      <c r="AP70" s="82">
        <f t="shared" si="125"/>
        <v>0</v>
      </c>
      <c r="AQ70" s="83">
        <f t="shared" si="147"/>
        <v>0</v>
      </c>
      <c r="AR70" s="83">
        <f t="shared" si="126"/>
        <v>0</v>
      </c>
      <c r="AS70" s="83">
        <v>0</v>
      </c>
      <c r="AT70" s="83">
        <f t="shared" si="148"/>
        <v>0</v>
      </c>
      <c r="AU70" s="83">
        <v>0</v>
      </c>
      <c r="AV70" s="83">
        <f t="shared" si="149"/>
        <v>0</v>
      </c>
      <c r="AW70" s="83">
        <f t="shared" si="150"/>
        <v>0</v>
      </c>
      <c r="AX70" s="83">
        <f t="shared" si="127"/>
        <v>0</v>
      </c>
    </row>
    <row r="71" spans="2:50" x14ac:dyDescent="0.35">
      <c r="B71" s="7" t="s">
        <v>140</v>
      </c>
      <c r="C71" s="78">
        <v>0</v>
      </c>
      <c r="D71" s="78">
        <v>0</v>
      </c>
      <c r="E71" s="78">
        <v>0</v>
      </c>
      <c r="F71" s="78">
        <f t="shared" si="128"/>
        <v>0</v>
      </c>
      <c r="G71" s="78">
        <v>0</v>
      </c>
      <c r="H71" s="78">
        <f t="shared" si="129"/>
        <v>0</v>
      </c>
      <c r="I71" s="78">
        <f t="shared" si="130"/>
        <v>0</v>
      </c>
      <c r="J71" s="78">
        <f t="shared" si="117"/>
        <v>0</v>
      </c>
      <c r="K71" s="79">
        <f t="shared" si="131"/>
        <v>0</v>
      </c>
      <c r="L71" s="79">
        <f t="shared" si="118"/>
        <v>0</v>
      </c>
      <c r="M71" s="79">
        <v>0</v>
      </c>
      <c r="N71" s="79">
        <f t="shared" si="132"/>
        <v>0</v>
      </c>
      <c r="O71" s="79">
        <v>0</v>
      </c>
      <c r="P71" s="79">
        <f t="shared" si="133"/>
        <v>0</v>
      </c>
      <c r="Q71" s="79">
        <f t="shared" si="134"/>
        <v>0</v>
      </c>
      <c r="R71" s="79">
        <f t="shared" si="119"/>
        <v>0</v>
      </c>
      <c r="S71" s="80">
        <f t="shared" si="135"/>
        <v>0</v>
      </c>
      <c r="T71" s="80">
        <f t="shared" si="120"/>
        <v>0</v>
      </c>
      <c r="U71" s="80">
        <v>0</v>
      </c>
      <c r="V71" s="80">
        <f t="shared" si="136"/>
        <v>0</v>
      </c>
      <c r="W71" s="80">
        <v>0</v>
      </c>
      <c r="X71" s="80">
        <f t="shared" si="137"/>
        <v>0</v>
      </c>
      <c r="Y71" s="80">
        <f t="shared" si="138"/>
        <v>0</v>
      </c>
      <c r="Z71" s="80">
        <f t="shared" si="121"/>
        <v>0</v>
      </c>
      <c r="AA71" s="81">
        <f t="shared" si="139"/>
        <v>0</v>
      </c>
      <c r="AB71" s="81">
        <f t="shared" si="122"/>
        <v>0</v>
      </c>
      <c r="AC71" s="81">
        <v>0</v>
      </c>
      <c r="AD71" s="81">
        <f t="shared" si="140"/>
        <v>0</v>
      </c>
      <c r="AE71" s="81">
        <v>0</v>
      </c>
      <c r="AF71" s="81">
        <f t="shared" si="141"/>
        <v>0</v>
      </c>
      <c r="AG71" s="81">
        <f t="shared" si="142"/>
        <v>0</v>
      </c>
      <c r="AH71" s="81">
        <f t="shared" si="123"/>
        <v>0</v>
      </c>
      <c r="AI71" s="82">
        <f t="shared" si="143"/>
        <v>0</v>
      </c>
      <c r="AJ71" s="82">
        <f t="shared" si="124"/>
        <v>0</v>
      </c>
      <c r="AK71" s="82">
        <v>0</v>
      </c>
      <c r="AL71" s="82">
        <f t="shared" si="144"/>
        <v>0</v>
      </c>
      <c r="AM71" s="82">
        <v>0</v>
      </c>
      <c r="AN71" s="82">
        <f t="shared" si="145"/>
        <v>0</v>
      </c>
      <c r="AO71" s="82">
        <f t="shared" si="146"/>
        <v>0</v>
      </c>
      <c r="AP71" s="82">
        <f t="shared" si="125"/>
        <v>0</v>
      </c>
      <c r="AQ71" s="83">
        <f t="shared" si="147"/>
        <v>0</v>
      </c>
      <c r="AR71" s="83">
        <f t="shared" si="126"/>
        <v>0</v>
      </c>
      <c r="AS71" s="83">
        <v>0</v>
      </c>
      <c r="AT71" s="83">
        <f t="shared" si="148"/>
        <v>0</v>
      </c>
      <c r="AU71" s="83">
        <v>0</v>
      </c>
      <c r="AV71" s="83">
        <f t="shared" si="149"/>
        <v>0</v>
      </c>
      <c r="AW71" s="83">
        <f t="shared" si="150"/>
        <v>0</v>
      </c>
      <c r="AX71" s="83">
        <f t="shared" si="127"/>
        <v>0</v>
      </c>
    </row>
    <row r="72" spans="2:50" x14ac:dyDescent="0.35">
      <c r="B72" s="7" t="s">
        <v>141</v>
      </c>
      <c r="C72" s="78">
        <v>1.1177398031642642</v>
      </c>
      <c r="D72" s="78">
        <v>1.1177398031642642</v>
      </c>
      <c r="E72" s="78">
        <v>0</v>
      </c>
      <c r="F72" s="78">
        <f t="shared" si="128"/>
        <v>0</v>
      </c>
      <c r="G72" s="78">
        <v>0</v>
      </c>
      <c r="H72" s="78">
        <f t="shared" si="129"/>
        <v>0</v>
      </c>
      <c r="I72" s="78">
        <f t="shared" si="130"/>
        <v>1.1177398031642642</v>
      </c>
      <c r="J72" s="78">
        <f t="shared" si="117"/>
        <v>1.1177398031642642</v>
      </c>
      <c r="K72" s="79">
        <f t="shared" si="131"/>
        <v>1.1177398031642642</v>
      </c>
      <c r="L72" s="79">
        <f t="shared" si="118"/>
        <v>1.1177398031642642</v>
      </c>
      <c r="M72" s="79">
        <v>0</v>
      </c>
      <c r="N72" s="79">
        <f t="shared" si="132"/>
        <v>0</v>
      </c>
      <c r="O72" s="79">
        <v>0</v>
      </c>
      <c r="P72" s="79">
        <f t="shared" si="133"/>
        <v>0</v>
      </c>
      <c r="Q72" s="79">
        <f t="shared" si="134"/>
        <v>1.1177398031642642</v>
      </c>
      <c r="R72" s="79">
        <f t="shared" si="119"/>
        <v>1.1177398031642642</v>
      </c>
      <c r="S72" s="80">
        <f t="shared" si="135"/>
        <v>1.1177398031642642</v>
      </c>
      <c r="T72" s="80">
        <f t="shared" si="120"/>
        <v>1.1177398031642642</v>
      </c>
      <c r="U72" s="80">
        <v>0</v>
      </c>
      <c r="V72" s="80">
        <f t="shared" si="136"/>
        <v>0</v>
      </c>
      <c r="W72" s="80">
        <v>1.4327033980000001</v>
      </c>
      <c r="X72" s="80">
        <f t="shared" si="137"/>
        <v>1.4327033980000001</v>
      </c>
      <c r="Y72" s="80">
        <f t="shared" si="138"/>
        <v>-0.31496359483573588</v>
      </c>
      <c r="Z72" s="80">
        <f t="shared" si="121"/>
        <v>-0.31496359483573588</v>
      </c>
      <c r="AA72" s="81">
        <f t="shared" si="139"/>
        <v>-0.31496359483573588</v>
      </c>
      <c r="AB72" s="81">
        <f t="shared" si="122"/>
        <v>-0.31496359483573588</v>
      </c>
      <c r="AC72" s="81">
        <v>0</v>
      </c>
      <c r="AD72" s="81">
        <f t="shared" si="140"/>
        <v>0</v>
      </c>
      <c r="AE72" s="81">
        <v>0</v>
      </c>
      <c r="AF72" s="81">
        <f t="shared" si="141"/>
        <v>0</v>
      </c>
      <c r="AG72" s="81">
        <f t="shared" si="142"/>
        <v>-0.31496359483573588</v>
      </c>
      <c r="AH72" s="81">
        <f t="shared" si="123"/>
        <v>-0.31496359483573588</v>
      </c>
      <c r="AI72" s="82">
        <f t="shared" si="143"/>
        <v>-0.31496359483573588</v>
      </c>
      <c r="AJ72" s="82">
        <f t="shared" si="124"/>
        <v>-0.31496359483573588</v>
      </c>
      <c r="AK72" s="82">
        <v>0</v>
      </c>
      <c r="AL72" s="82">
        <f t="shared" si="144"/>
        <v>0</v>
      </c>
      <c r="AM72" s="82">
        <v>0</v>
      </c>
      <c r="AN72" s="82">
        <f t="shared" si="145"/>
        <v>0</v>
      </c>
      <c r="AO72" s="82">
        <f t="shared" si="146"/>
        <v>-0.31496359483573588</v>
      </c>
      <c r="AP72" s="82">
        <f t="shared" si="125"/>
        <v>-0.31496359483573588</v>
      </c>
      <c r="AQ72" s="83">
        <f t="shared" si="147"/>
        <v>-0.31496359483573588</v>
      </c>
      <c r="AR72" s="83">
        <f t="shared" si="126"/>
        <v>-0.31496359483573588</v>
      </c>
      <c r="AS72" s="83">
        <v>0</v>
      </c>
      <c r="AT72" s="83">
        <f t="shared" si="148"/>
        <v>0</v>
      </c>
      <c r="AU72" s="83">
        <v>0</v>
      </c>
      <c r="AV72" s="83">
        <f t="shared" si="149"/>
        <v>0</v>
      </c>
      <c r="AW72" s="83">
        <f t="shared" si="150"/>
        <v>-0.31496359483573588</v>
      </c>
      <c r="AX72" s="83">
        <f t="shared" si="127"/>
        <v>-0.31496359483573588</v>
      </c>
    </row>
    <row r="73" spans="2:50" x14ac:dyDescent="0.35">
      <c r="B73" s="7" t="s">
        <v>142</v>
      </c>
      <c r="C73" s="78">
        <v>1.5982151362684931</v>
      </c>
      <c r="D73" s="78">
        <v>1.5982151362684931</v>
      </c>
      <c r="E73" s="78">
        <v>0.10556471799999993</v>
      </c>
      <c r="F73" s="78">
        <f t="shared" si="128"/>
        <v>0.10395132471533608</v>
      </c>
      <c r="G73" s="78">
        <v>0</v>
      </c>
      <c r="H73" s="78">
        <f t="shared" si="129"/>
        <v>0</v>
      </c>
      <c r="I73" s="78">
        <f t="shared" si="130"/>
        <v>1.703779854268493</v>
      </c>
      <c r="J73" s="78">
        <f t="shared" si="117"/>
        <v>1.7021664609838292</v>
      </c>
      <c r="K73" s="79">
        <f t="shared" si="131"/>
        <v>1.703779854268493</v>
      </c>
      <c r="L73" s="79">
        <f t="shared" si="118"/>
        <v>1.7021664609838292</v>
      </c>
      <c r="M73" s="79">
        <v>1.7764999640000001</v>
      </c>
      <c r="N73" s="79">
        <f t="shared" si="132"/>
        <v>1.705760102283326</v>
      </c>
      <c r="O73" s="79">
        <v>0.30452602600000001</v>
      </c>
      <c r="P73" s="79">
        <f t="shared" si="133"/>
        <v>0.30452602600000001</v>
      </c>
      <c r="Q73" s="79">
        <f t="shared" si="134"/>
        <v>3.1757537922684933</v>
      </c>
      <c r="R73" s="79">
        <f t="shared" si="119"/>
        <v>3.1034005372671554</v>
      </c>
      <c r="S73" s="80">
        <f t="shared" si="135"/>
        <v>3.1757537922684933</v>
      </c>
      <c r="T73" s="80">
        <f t="shared" si="120"/>
        <v>3.1034005372671554</v>
      </c>
      <c r="U73" s="80">
        <v>0</v>
      </c>
      <c r="V73" s="80">
        <f t="shared" si="136"/>
        <v>0</v>
      </c>
      <c r="W73" s="80">
        <v>0</v>
      </c>
      <c r="X73" s="80">
        <f t="shared" si="137"/>
        <v>0</v>
      </c>
      <c r="Y73" s="80">
        <f t="shared" si="138"/>
        <v>3.1757537922684933</v>
      </c>
      <c r="Z73" s="80">
        <f t="shared" si="121"/>
        <v>3.1034005372671554</v>
      </c>
      <c r="AA73" s="81">
        <f t="shared" si="139"/>
        <v>3.1757537922684933</v>
      </c>
      <c r="AB73" s="81">
        <f t="shared" si="122"/>
        <v>3.1034005372671554</v>
      </c>
      <c r="AC73" s="81">
        <v>0</v>
      </c>
      <c r="AD73" s="81">
        <f t="shared" si="140"/>
        <v>0</v>
      </c>
      <c r="AE73" s="81">
        <v>0</v>
      </c>
      <c r="AF73" s="81">
        <f t="shared" si="141"/>
        <v>0</v>
      </c>
      <c r="AG73" s="81">
        <f t="shared" si="142"/>
        <v>3.1757537922684933</v>
      </c>
      <c r="AH73" s="81">
        <f t="shared" si="123"/>
        <v>3.1034005372671554</v>
      </c>
      <c r="AI73" s="82">
        <f t="shared" si="143"/>
        <v>3.1757537922684933</v>
      </c>
      <c r="AJ73" s="82">
        <f t="shared" si="124"/>
        <v>3.1034005372671554</v>
      </c>
      <c r="AK73" s="82">
        <v>0</v>
      </c>
      <c r="AL73" s="82">
        <f t="shared" si="144"/>
        <v>0</v>
      </c>
      <c r="AM73" s="82">
        <v>0</v>
      </c>
      <c r="AN73" s="82">
        <f t="shared" si="145"/>
        <v>0</v>
      </c>
      <c r="AO73" s="82">
        <f t="shared" si="146"/>
        <v>3.1757537922684933</v>
      </c>
      <c r="AP73" s="82">
        <f t="shared" si="125"/>
        <v>3.1034005372671554</v>
      </c>
      <c r="AQ73" s="83">
        <f t="shared" si="147"/>
        <v>3.1757537922684933</v>
      </c>
      <c r="AR73" s="83">
        <f t="shared" si="126"/>
        <v>3.1034005372671554</v>
      </c>
      <c r="AS73" s="83">
        <v>0</v>
      </c>
      <c r="AT73" s="83">
        <f t="shared" si="148"/>
        <v>0</v>
      </c>
      <c r="AU73" s="83">
        <v>0</v>
      </c>
      <c r="AV73" s="83">
        <f t="shared" si="149"/>
        <v>0</v>
      </c>
      <c r="AW73" s="83">
        <f t="shared" si="150"/>
        <v>3.1757537922684933</v>
      </c>
      <c r="AX73" s="83">
        <f t="shared" si="127"/>
        <v>3.1034005372671554</v>
      </c>
    </row>
    <row r="74" spans="2:50" x14ac:dyDescent="0.35">
      <c r="B74" s="7" t="s">
        <v>143</v>
      </c>
      <c r="C74" s="78">
        <v>1.163161632588797</v>
      </c>
      <c r="D74" s="78">
        <v>1.163161632588797</v>
      </c>
      <c r="E74" s="78">
        <v>0.12970295799999998</v>
      </c>
      <c r="F74" s="78">
        <f t="shared" si="128"/>
        <v>0.12772064908654049</v>
      </c>
      <c r="G74" s="78">
        <v>0</v>
      </c>
      <c r="H74" s="78">
        <f t="shared" si="129"/>
        <v>0</v>
      </c>
      <c r="I74" s="78">
        <f t="shared" si="130"/>
        <v>1.292864590588797</v>
      </c>
      <c r="J74" s="78">
        <f t="shared" si="117"/>
        <v>1.2908822816753376</v>
      </c>
      <c r="K74" s="79">
        <f t="shared" si="131"/>
        <v>1.292864590588797</v>
      </c>
      <c r="L74" s="79">
        <f t="shared" si="118"/>
        <v>1.2908822816753376</v>
      </c>
      <c r="M74" s="79">
        <v>8.4071286999999995E-2</v>
      </c>
      <c r="N74" s="79">
        <f t="shared" si="132"/>
        <v>8.0723585712502072E-2</v>
      </c>
      <c r="O74" s="79">
        <v>0</v>
      </c>
      <c r="P74" s="79">
        <f t="shared" si="133"/>
        <v>0</v>
      </c>
      <c r="Q74" s="79">
        <f t="shared" si="134"/>
        <v>1.376935877588797</v>
      </c>
      <c r="R74" s="79">
        <f t="shared" si="119"/>
        <v>1.3716058673878397</v>
      </c>
      <c r="S74" s="80">
        <f t="shared" si="135"/>
        <v>1.376935877588797</v>
      </c>
      <c r="T74" s="80">
        <f t="shared" si="120"/>
        <v>1.3716058673878397</v>
      </c>
      <c r="U74" s="80">
        <v>0</v>
      </c>
      <c r="V74" s="80">
        <f t="shared" si="136"/>
        <v>0</v>
      </c>
      <c r="W74" s="80">
        <v>0</v>
      </c>
      <c r="X74" s="80">
        <f t="shared" si="137"/>
        <v>0</v>
      </c>
      <c r="Y74" s="80">
        <f t="shared" si="138"/>
        <v>1.376935877588797</v>
      </c>
      <c r="Z74" s="80">
        <f t="shared" si="121"/>
        <v>1.3716058673878397</v>
      </c>
      <c r="AA74" s="81">
        <f t="shared" si="139"/>
        <v>1.376935877588797</v>
      </c>
      <c r="AB74" s="81">
        <f t="shared" si="122"/>
        <v>1.3716058673878397</v>
      </c>
      <c r="AC74" s="81">
        <v>0</v>
      </c>
      <c r="AD74" s="81">
        <f t="shared" si="140"/>
        <v>0</v>
      </c>
      <c r="AE74" s="81">
        <v>0</v>
      </c>
      <c r="AF74" s="81">
        <f t="shared" si="141"/>
        <v>0</v>
      </c>
      <c r="AG74" s="81">
        <f t="shared" si="142"/>
        <v>1.376935877588797</v>
      </c>
      <c r="AH74" s="81">
        <f t="shared" si="123"/>
        <v>1.3716058673878397</v>
      </c>
      <c r="AI74" s="82">
        <f t="shared" si="143"/>
        <v>1.376935877588797</v>
      </c>
      <c r="AJ74" s="82">
        <f t="shared" si="124"/>
        <v>1.3716058673878397</v>
      </c>
      <c r="AK74" s="82">
        <v>0</v>
      </c>
      <c r="AL74" s="82">
        <f t="shared" si="144"/>
        <v>0</v>
      </c>
      <c r="AM74" s="82">
        <v>0</v>
      </c>
      <c r="AN74" s="82">
        <f t="shared" si="145"/>
        <v>0</v>
      </c>
      <c r="AO74" s="82">
        <f t="shared" si="146"/>
        <v>1.376935877588797</v>
      </c>
      <c r="AP74" s="82">
        <f t="shared" si="125"/>
        <v>1.3716058673878397</v>
      </c>
      <c r="AQ74" s="83">
        <f t="shared" si="147"/>
        <v>1.376935877588797</v>
      </c>
      <c r="AR74" s="83">
        <f t="shared" si="126"/>
        <v>1.3716058673878397</v>
      </c>
      <c r="AS74" s="83">
        <v>0</v>
      </c>
      <c r="AT74" s="83">
        <f t="shared" si="148"/>
        <v>0</v>
      </c>
      <c r="AU74" s="83">
        <v>0</v>
      </c>
      <c r="AV74" s="83">
        <f t="shared" si="149"/>
        <v>0</v>
      </c>
      <c r="AW74" s="83">
        <f t="shared" si="150"/>
        <v>1.376935877588797</v>
      </c>
      <c r="AX74" s="83">
        <f t="shared" si="127"/>
        <v>1.3716058673878397</v>
      </c>
    </row>
    <row r="75" spans="2:50" x14ac:dyDescent="0.35">
      <c r="B75" s="7" t="s">
        <v>144</v>
      </c>
      <c r="C75" s="78">
        <v>4.8182990199609783</v>
      </c>
      <c r="D75" s="78">
        <v>4.8182990199609783</v>
      </c>
      <c r="E75" s="78">
        <v>0.59795586600000006</v>
      </c>
      <c r="F75" s="78">
        <f t="shared" si="128"/>
        <v>0.58881703631326932</v>
      </c>
      <c r="G75" s="78">
        <v>0</v>
      </c>
      <c r="H75" s="78">
        <f t="shared" si="129"/>
        <v>0</v>
      </c>
      <c r="I75" s="78">
        <f t="shared" si="130"/>
        <v>5.4162548859609787</v>
      </c>
      <c r="J75" s="78">
        <f t="shared" si="117"/>
        <v>5.4071160562742477</v>
      </c>
      <c r="K75" s="79">
        <f t="shared" si="131"/>
        <v>5.4162548859609787</v>
      </c>
      <c r="L75" s="79">
        <f t="shared" si="118"/>
        <v>5.4071160562742477</v>
      </c>
      <c r="M75" s="79">
        <v>0.58777592200000006</v>
      </c>
      <c r="N75" s="79">
        <f t="shared" si="132"/>
        <v>0.5643708061625361</v>
      </c>
      <c r="O75" s="79">
        <v>0</v>
      </c>
      <c r="P75" s="79">
        <f t="shared" si="133"/>
        <v>0</v>
      </c>
      <c r="Q75" s="79">
        <f t="shared" si="134"/>
        <v>6.0040308079609783</v>
      </c>
      <c r="R75" s="79">
        <f t="shared" si="119"/>
        <v>5.9714868624367838</v>
      </c>
      <c r="S75" s="80">
        <f t="shared" si="135"/>
        <v>6.0040308079609783</v>
      </c>
      <c r="T75" s="80">
        <f t="shared" si="120"/>
        <v>5.9714868624367838</v>
      </c>
      <c r="U75" s="80">
        <v>0.17055493199999999</v>
      </c>
      <c r="V75" s="80">
        <f t="shared" si="136"/>
        <v>0.17059257231646258</v>
      </c>
      <c r="W75" s="80">
        <v>0</v>
      </c>
      <c r="X75" s="80">
        <f t="shared" si="137"/>
        <v>0</v>
      </c>
      <c r="Y75" s="80">
        <f t="shared" si="138"/>
        <v>6.1745857399609783</v>
      </c>
      <c r="Z75" s="80">
        <f t="shared" si="121"/>
        <v>6.1420794347532466</v>
      </c>
      <c r="AA75" s="81">
        <f t="shared" si="139"/>
        <v>6.1745857399609783</v>
      </c>
      <c r="AB75" s="81">
        <f t="shared" si="122"/>
        <v>6.1420794347532466</v>
      </c>
      <c r="AC75" s="81">
        <v>0</v>
      </c>
      <c r="AD75" s="81">
        <f t="shared" si="140"/>
        <v>0</v>
      </c>
      <c r="AE75" s="81">
        <v>0</v>
      </c>
      <c r="AF75" s="81">
        <f t="shared" si="141"/>
        <v>0</v>
      </c>
      <c r="AG75" s="81">
        <f t="shared" si="142"/>
        <v>6.1745857399609783</v>
      </c>
      <c r="AH75" s="81">
        <f t="shared" si="123"/>
        <v>6.1420794347532466</v>
      </c>
      <c r="AI75" s="82">
        <f t="shared" si="143"/>
        <v>6.1745857399609783</v>
      </c>
      <c r="AJ75" s="82">
        <f t="shared" si="124"/>
        <v>6.1420794347532466</v>
      </c>
      <c r="AK75" s="82">
        <v>0</v>
      </c>
      <c r="AL75" s="82">
        <f t="shared" si="144"/>
        <v>0</v>
      </c>
      <c r="AM75" s="82">
        <v>0</v>
      </c>
      <c r="AN75" s="82">
        <f t="shared" si="145"/>
        <v>0</v>
      </c>
      <c r="AO75" s="82">
        <f t="shared" si="146"/>
        <v>6.1745857399609783</v>
      </c>
      <c r="AP75" s="82">
        <f t="shared" si="125"/>
        <v>6.1420794347532466</v>
      </c>
      <c r="AQ75" s="83">
        <f t="shared" si="147"/>
        <v>6.1745857399609783</v>
      </c>
      <c r="AR75" s="83">
        <f t="shared" si="126"/>
        <v>6.1420794347532466</v>
      </c>
      <c r="AS75" s="83">
        <v>0</v>
      </c>
      <c r="AT75" s="83">
        <f t="shared" si="148"/>
        <v>0</v>
      </c>
      <c r="AU75" s="83">
        <v>0</v>
      </c>
      <c r="AV75" s="83">
        <f t="shared" si="149"/>
        <v>0</v>
      </c>
      <c r="AW75" s="83">
        <f t="shared" si="150"/>
        <v>6.1745857399609783</v>
      </c>
      <c r="AX75" s="83">
        <f t="shared" si="127"/>
        <v>6.1420794347532466</v>
      </c>
    </row>
    <row r="76" spans="2:50" x14ac:dyDescent="0.35">
      <c r="B76" s="7" t="s">
        <v>145</v>
      </c>
      <c r="C76" s="78">
        <v>0</v>
      </c>
      <c r="D76" s="78">
        <v>0</v>
      </c>
      <c r="E76" s="78">
        <v>0</v>
      </c>
      <c r="F76" s="78">
        <f t="shared" si="128"/>
        <v>0</v>
      </c>
      <c r="G76" s="78">
        <v>0</v>
      </c>
      <c r="H76" s="78">
        <f t="shared" si="129"/>
        <v>0</v>
      </c>
      <c r="I76" s="78">
        <f t="shared" si="130"/>
        <v>0</v>
      </c>
      <c r="J76" s="78">
        <f t="shared" si="117"/>
        <v>0</v>
      </c>
      <c r="K76" s="79">
        <f t="shared" si="131"/>
        <v>0</v>
      </c>
      <c r="L76" s="79">
        <f t="shared" si="118"/>
        <v>0</v>
      </c>
      <c r="M76" s="79">
        <v>0</v>
      </c>
      <c r="N76" s="79">
        <f t="shared" si="132"/>
        <v>0</v>
      </c>
      <c r="O76" s="79">
        <v>0</v>
      </c>
      <c r="P76" s="79">
        <f t="shared" si="133"/>
        <v>0</v>
      </c>
      <c r="Q76" s="79">
        <f t="shared" si="134"/>
        <v>0</v>
      </c>
      <c r="R76" s="79">
        <f t="shared" si="119"/>
        <v>0</v>
      </c>
      <c r="S76" s="80">
        <f t="shared" si="135"/>
        <v>0</v>
      </c>
      <c r="T76" s="80">
        <f t="shared" si="120"/>
        <v>0</v>
      </c>
      <c r="U76" s="80">
        <v>0</v>
      </c>
      <c r="V76" s="80">
        <f t="shared" si="136"/>
        <v>0</v>
      </c>
      <c r="W76" s="80">
        <v>0</v>
      </c>
      <c r="X76" s="80">
        <f t="shared" si="137"/>
        <v>0</v>
      </c>
      <c r="Y76" s="80">
        <f t="shared" si="138"/>
        <v>0</v>
      </c>
      <c r="Z76" s="80">
        <f t="shared" si="121"/>
        <v>0</v>
      </c>
      <c r="AA76" s="81">
        <f t="shared" si="139"/>
        <v>0</v>
      </c>
      <c r="AB76" s="81">
        <f t="shared" si="122"/>
        <v>0</v>
      </c>
      <c r="AC76" s="81">
        <v>0</v>
      </c>
      <c r="AD76" s="81">
        <f t="shared" si="140"/>
        <v>0</v>
      </c>
      <c r="AE76" s="81">
        <v>0</v>
      </c>
      <c r="AF76" s="81">
        <f t="shared" si="141"/>
        <v>0</v>
      </c>
      <c r="AG76" s="81">
        <f t="shared" si="142"/>
        <v>0</v>
      </c>
      <c r="AH76" s="81">
        <f t="shared" si="123"/>
        <v>0</v>
      </c>
      <c r="AI76" s="82">
        <f t="shared" si="143"/>
        <v>0</v>
      </c>
      <c r="AJ76" s="82">
        <f t="shared" si="124"/>
        <v>0</v>
      </c>
      <c r="AK76" s="82">
        <v>0</v>
      </c>
      <c r="AL76" s="82">
        <f t="shared" si="144"/>
        <v>0</v>
      </c>
      <c r="AM76" s="82">
        <v>0</v>
      </c>
      <c r="AN76" s="82">
        <f t="shared" si="145"/>
        <v>0</v>
      </c>
      <c r="AO76" s="82">
        <f t="shared" si="146"/>
        <v>0</v>
      </c>
      <c r="AP76" s="82">
        <f t="shared" si="125"/>
        <v>0</v>
      </c>
      <c r="AQ76" s="83">
        <f t="shared" si="147"/>
        <v>0</v>
      </c>
      <c r="AR76" s="83">
        <f t="shared" si="126"/>
        <v>0</v>
      </c>
      <c r="AS76" s="83">
        <v>0</v>
      </c>
      <c r="AT76" s="83">
        <f t="shared" si="148"/>
        <v>0</v>
      </c>
      <c r="AU76" s="83">
        <v>0</v>
      </c>
      <c r="AV76" s="83">
        <f t="shared" si="149"/>
        <v>0</v>
      </c>
      <c r="AW76" s="83">
        <f t="shared" si="150"/>
        <v>0</v>
      </c>
      <c r="AX76" s="83">
        <f t="shared" si="127"/>
        <v>0</v>
      </c>
    </row>
    <row r="77" spans="2:50" x14ac:dyDescent="0.35">
      <c r="B77" s="7" t="s">
        <v>146</v>
      </c>
      <c r="C77" s="78">
        <v>0</v>
      </c>
      <c r="D77" s="78">
        <v>0</v>
      </c>
      <c r="E77" s="78">
        <v>0</v>
      </c>
      <c r="F77" s="78">
        <f t="shared" si="128"/>
        <v>0</v>
      </c>
      <c r="G77" s="78">
        <v>0</v>
      </c>
      <c r="H77" s="78">
        <f t="shared" si="129"/>
        <v>0</v>
      </c>
      <c r="I77" s="78">
        <f t="shared" si="130"/>
        <v>0</v>
      </c>
      <c r="J77" s="78">
        <f t="shared" si="117"/>
        <v>0</v>
      </c>
      <c r="K77" s="79">
        <f t="shared" si="131"/>
        <v>0</v>
      </c>
      <c r="L77" s="79">
        <f t="shared" si="118"/>
        <v>0</v>
      </c>
      <c r="M77" s="79">
        <v>0</v>
      </c>
      <c r="N77" s="79">
        <f t="shared" si="132"/>
        <v>0</v>
      </c>
      <c r="O77" s="79">
        <v>0</v>
      </c>
      <c r="P77" s="79">
        <f t="shared" si="133"/>
        <v>0</v>
      </c>
      <c r="Q77" s="79">
        <f t="shared" si="134"/>
        <v>0</v>
      </c>
      <c r="R77" s="79">
        <f t="shared" si="119"/>
        <v>0</v>
      </c>
      <c r="S77" s="80">
        <f t="shared" si="135"/>
        <v>0</v>
      </c>
      <c r="T77" s="80">
        <f t="shared" si="120"/>
        <v>0</v>
      </c>
      <c r="U77" s="80">
        <v>0</v>
      </c>
      <c r="V77" s="80">
        <f t="shared" si="136"/>
        <v>0</v>
      </c>
      <c r="W77" s="80">
        <v>0</v>
      </c>
      <c r="X77" s="80">
        <f t="shared" si="137"/>
        <v>0</v>
      </c>
      <c r="Y77" s="80">
        <f t="shared" si="138"/>
        <v>0</v>
      </c>
      <c r="Z77" s="80">
        <f t="shared" si="121"/>
        <v>0</v>
      </c>
      <c r="AA77" s="81">
        <f t="shared" si="139"/>
        <v>0</v>
      </c>
      <c r="AB77" s="81">
        <f t="shared" si="122"/>
        <v>0</v>
      </c>
      <c r="AC77" s="81">
        <v>0</v>
      </c>
      <c r="AD77" s="81">
        <f t="shared" si="140"/>
        <v>0</v>
      </c>
      <c r="AE77" s="81">
        <v>0</v>
      </c>
      <c r="AF77" s="81">
        <f t="shared" si="141"/>
        <v>0</v>
      </c>
      <c r="AG77" s="81">
        <f t="shared" si="142"/>
        <v>0</v>
      </c>
      <c r="AH77" s="81">
        <f t="shared" si="123"/>
        <v>0</v>
      </c>
      <c r="AI77" s="82">
        <f t="shared" si="143"/>
        <v>0</v>
      </c>
      <c r="AJ77" s="82">
        <f t="shared" si="124"/>
        <v>0</v>
      </c>
      <c r="AK77" s="82">
        <v>0</v>
      </c>
      <c r="AL77" s="82">
        <f t="shared" si="144"/>
        <v>0</v>
      </c>
      <c r="AM77" s="82">
        <v>0</v>
      </c>
      <c r="AN77" s="82">
        <f t="shared" si="145"/>
        <v>0</v>
      </c>
      <c r="AO77" s="82">
        <f t="shared" si="146"/>
        <v>0</v>
      </c>
      <c r="AP77" s="82">
        <f t="shared" si="125"/>
        <v>0</v>
      </c>
      <c r="AQ77" s="83">
        <f t="shared" si="147"/>
        <v>0</v>
      </c>
      <c r="AR77" s="83">
        <f t="shared" si="126"/>
        <v>0</v>
      </c>
      <c r="AS77" s="83">
        <v>0</v>
      </c>
      <c r="AT77" s="83">
        <f t="shared" si="148"/>
        <v>0</v>
      </c>
      <c r="AU77" s="83">
        <v>0</v>
      </c>
      <c r="AV77" s="83">
        <f t="shared" si="149"/>
        <v>0</v>
      </c>
      <c r="AW77" s="83">
        <f t="shared" si="150"/>
        <v>0</v>
      </c>
      <c r="AX77" s="83">
        <f t="shared" si="127"/>
        <v>0</v>
      </c>
    </row>
    <row r="78" spans="2:50" x14ac:dyDescent="0.35">
      <c r="B78" s="7" t="s">
        <v>147</v>
      </c>
      <c r="C78" s="78">
        <v>0</v>
      </c>
      <c r="D78" s="78">
        <v>0</v>
      </c>
      <c r="E78" s="78">
        <v>8.2440001999999998E-2</v>
      </c>
      <c r="F78" s="78">
        <f t="shared" si="128"/>
        <v>8.1180034198878467E-2</v>
      </c>
      <c r="G78" s="78">
        <v>0</v>
      </c>
      <c r="H78" s="78">
        <f t="shared" si="129"/>
        <v>0</v>
      </c>
      <c r="I78" s="78">
        <f t="shared" si="130"/>
        <v>8.2440001999999998E-2</v>
      </c>
      <c r="J78" s="78">
        <f t="shared" si="117"/>
        <v>8.1180034198878467E-2</v>
      </c>
      <c r="K78" s="79">
        <f t="shared" si="131"/>
        <v>8.2440001999999998E-2</v>
      </c>
      <c r="L78" s="79">
        <f t="shared" si="118"/>
        <v>8.1180034198878467E-2</v>
      </c>
      <c r="M78" s="79">
        <v>0</v>
      </c>
      <c r="N78" s="79">
        <f t="shared" si="132"/>
        <v>0</v>
      </c>
      <c r="O78" s="79">
        <v>0</v>
      </c>
      <c r="P78" s="79">
        <f t="shared" si="133"/>
        <v>0</v>
      </c>
      <c r="Q78" s="79">
        <f t="shared" si="134"/>
        <v>8.2440001999999998E-2</v>
      </c>
      <c r="R78" s="79">
        <f t="shared" si="119"/>
        <v>8.1180034198878467E-2</v>
      </c>
      <c r="S78" s="80">
        <f t="shared" si="135"/>
        <v>8.2440001999999998E-2</v>
      </c>
      <c r="T78" s="80">
        <f t="shared" si="120"/>
        <v>8.1180034198878467E-2</v>
      </c>
      <c r="U78" s="80">
        <v>0</v>
      </c>
      <c r="V78" s="80">
        <f t="shared" si="136"/>
        <v>0</v>
      </c>
      <c r="W78" s="80">
        <v>0</v>
      </c>
      <c r="X78" s="80">
        <f t="shared" si="137"/>
        <v>0</v>
      </c>
      <c r="Y78" s="80">
        <f t="shared" si="138"/>
        <v>8.2440001999999998E-2</v>
      </c>
      <c r="Z78" s="80">
        <f t="shared" si="121"/>
        <v>8.1180034198878467E-2</v>
      </c>
      <c r="AA78" s="81">
        <f t="shared" si="139"/>
        <v>8.2440001999999998E-2</v>
      </c>
      <c r="AB78" s="81">
        <f t="shared" si="122"/>
        <v>8.1180034198878467E-2</v>
      </c>
      <c r="AC78" s="81">
        <v>0</v>
      </c>
      <c r="AD78" s="81">
        <f t="shared" si="140"/>
        <v>0</v>
      </c>
      <c r="AE78" s="81">
        <v>0</v>
      </c>
      <c r="AF78" s="81">
        <f t="shared" si="141"/>
        <v>0</v>
      </c>
      <c r="AG78" s="81">
        <f t="shared" si="142"/>
        <v>8.2440001999999998E-2</v>
      </c>
      <c r="AH78" s="81">
        <f t="shared" si="123"/>
        <v>8.1180034198878467E-2</v>
      </c>
      <c r="AI78" s="82">
        <f t="shared" si="143"/>
        <v>8.2440001999999998E-2</v>
      </c>
      <c r="AJ78" s="82">
        <f t="shared" si="124"/>
        <v>8.1180034198878467E-2</v>
      </c>
      <c r="AK78" s="82">
        <v>0</v>
      </c>
      <c r="AL78" s="82">
        <f t="shared" si="144"/>
        <v>0</v>
      </c>
      <c r="AM78" s="82">
        <v>0</v>
      </c>
      <c r="AN78" s="82">
        <f t="shared" si="145"/>
        <v>0</v>
      </c>
      <c r="AO78" s="82">
        <f t="shared" si="146"/>
        <v>8.2440001999999998E-2</v>
      </c>
      <c r="AP78" s="82">
        <f t="shared" si="125"/>
        <v>8.1180034198878467E-2</v>
      </c>
      <c r="AQ78" s="83">
        <f t="shared" si="147"/>
        <v>8.2440001999999998E-2</v>
      </c>
      <c r="AR78" s="83">
        <f t="shared" si="126"/>
        <v>8.1180034198878467E-2</v>
      </c>
      <c r="AS78" s="83">
        <v>0</v>
      </c>
      <c r="AT78" s="83">
        <f t="shared" si="148"/>
        <v>0</v>
      </c>
      <c r="AU78" s="83">
        <v>0</v>
      </c>
      <c r="AV78" s="83">
        <f t="shared" si="149"/>
        <v>0</v>
      </c>
      <c r="AW78" s="83">
        <f t="shared" si="150"/>
        <v>8.2440001999999998E-2</v>
      </c>
      <c r="AX78" s="83">
        <f t="shared" si="127"/>
        <v>8.1180034198878467E-2</v>
      </c>
    </row>
    <row r="79" spans="2:50" x14ac:dyDescent="0.35">
      <c r="B79" s="7" t="s">
        <v>148</v>
      </c>
      <c r="C79" s="78">
        <v>0</v>
      </c>
      <c r="D79" s="78">
        <v>0</v>
      </c>
      <c r="E79" s="78">
        <v>0</v>
      </c>
      <c r="F79" s="78">
        <f t="shared" si="128"/>
        <v>0</v>
      </c>
      <c r="G79" s="78">
        <v>0</v>
      </c>
      <c r="H79" s="78">
        <f t="shared" si="129"/>
        <v>0</v>
      </c>
      <c r="I79" s="78">
        <f t="shared" si="130"/>
        <v>0</v>
      </c>
      <c r="J79" s="78">
        <f t="shared" si="117"/>
        <v>0</v>
      </c>
      <c r="K79" s="79">
        <f t="shared" si="131"/>
        <v>0</v>
      </c>
      <c r="L79" s="79">
        <f t="shared" si="118"/>
        <v>0</v>
      </c>
      <c r="M79" s="79">
        <v>0</v>
      </c>
      <c r="N79" s="79">
        <f t="shared" si="132"/>
        <v>0</v>
      </c>
      <c r="O79" s="79">
        <v>0</v>
      </c>
      <c r="P79" s="79">
        <f t="shared" si="133"/>
        <v>0</v>
      </c>
      <c r="Q79" s="79">
        <f t="shared" si="134"/>
        <v>0</v>
      </c>
      <c r="R79" s="79">
        <f t="shared" si="119"/>
        <v>0</v>
      </c>
      <c r="S79" s="80">
        <f t="shared" si="135"/>
        <v>0</v>
      </c>
      <c r="T79" s="80">
        <f t="shared" si="120"/>
        <v>0</v>
      </c>
      <c r="U79" s="80">
        <v>0</v>
      </c>
      <c r="V79" s="80">
        <f t="shared" si="136"/>
        <v>0</v>
      </c>
      <c r="W79" s="80">
        <v>0</v>
      </c>
      <c r="X79" s="80">
        <f t="shared" si="137"/>
        <v>0</v>
      </c>
      <c r="Y79" s="80">
        <f t="shared" si="138"/>
        <v>0</v>
      </c>
      <c r="Z79" s="80">
        <f t="shared" si="121"/>
        <v>0</v>
      </c>
      <c r="AA79" s="81">
        <f t="shared" si="139"/>
        <v>0</v>
      </c>
      <c r="AB79" s="81">
        <f t="shared" si="122"/>
        <v>0</v>
      </c>
      <c r="AC79" s="81">
        <v>0</v>
      </c>
      <c r="AD79" s="81">
        <f t="shared" si="140"/>
        <v>0</v>
      </c>
      <c r="AE79" s="81">
        <v>0</v>
      </c>
      <c r="AF79" s="81">
        <f t="shared" si="141"/>
        <v>0</v>
      </c>
      <c r="AG79" s="81">
        <f t="shared" si="142"/>
        <v>0</v>
      </c>
      <c r="AH79" s="81">
        <f t="shared" si="123"/>
        <v>0</v>
      </c>
      <c r="AI79" s="82">
        <f t="shared" si="143"/>
        <v>0</v>
      </c>
      <c r="AJ79" s="82">
        <f t="shared" si="124"/>
        <v>0</v>
      </c>
      <c r="AK79" s="82">
        <v>0</v>
      </c>
      <c r="AL79" s="82">
        <f t="shared" si="144"/>
        <v>0</v>
      </c>
      <c r="AM79" s="82">
        <v>0</v>
      </c>
      <c r="AN79" s="82">
        <f t="shared" si="145"/>
        <v>0</v>
      </c>
      <c r="AO79" s="82">
        <f t="shared" si="146"/>
        <v>0</v>
      </c>
      <c r="AP79" s="82">
        <f t="shared" si="125"/>
        <v>0</v>
      </c>
      <c r="AQ79" s="83">
        <f t="shared" si="147"/>
        <v>0</v>
      </c>
      <c r="AR79" s="83">
        <f t="shared" si="126"/>
        <v>0</v>
      </c>
      <c r="AS79" s="83">
        <v>0</v>
      </c>
      <c r="AT79" s="83">
        <f t="shared" si="148"/>
        <v>0</v>
      </c>
      <c r="AU79" s="83">
        <v>0</v>
      </c>
      <c r="AV79" s="83">
        <f t="shared" si="149"/>
        <v>0</v>
      </c>
      <c r="AW79" s="83">
        <f t="shared" si="150"/>
        <v>0</v>
      </c>
      <c r="AX79" s="83">
        <f t="shared" si="127"/>
        <v>0</v>
      </c>
    </row>
    <row r="80" spans="2:50" ht="31" x14ac:dyDescent="0.35">
      <c r="B80" s="84" t="s">
        <v>149</v>
      </c>
      <c r="C80" s="78">
        <v>0</v>
      </c>
      <c r="D80" s="78">
        <v>0</v>
      </c>
      <c r="E80" s="78">
        <v>0</v>
      </c>
      <c r="F80" s="78">
        <f t="shared" si="128"/>
        <v>0</v>
      </c>
      <c r="G80" s="78">
        <v>0</v>
      </c>
      <c r="H80" s="78">
        <f t="shared" si="129"/>
        <v>0</v>
      </c>
      <c r="I80" s="78">
        <f t="shared" si="130"/>
        <v>0</v>
      </c>
      <c r="J80" s="78">
        <f t="shared" si="117"/>
        <v>0</v>
      </c>
      <c r="K80" s="79">
        <f t="shared" si="131"/>
        <v>0</v>
      </c>
      <c r="L80" s="79">
        <f t="shared" si="118"/>
        <v>0</v>
      </c>
      <c r="M80" s="79">
        <v>0</v>
      </c>
      <c r="N80" s="79">
        <f t="shared" si="132"/>
        <v>0</v>
      </c>
      <c r="O80" s="79">
        <v>0</v>
      </c>
      <c r="P80" s="79">
        <f t="shared" si="133"/>
        <v>0</v>
      </c>
      <c r="Q80" s="79">
        <f t="shared" si="134"/>
        <v>0</v>
      </c>
      <c r="R80" s="79">
        <f t="shared" si="119"/>
        <v>0</v>
      </c>
      <c r="S80" s="80">
        <f t="shared" si="135"/>
        <v>0</v>
      </c>
      <c r="T80" s="80">
        <f t="shared" si="120"/>
        <v>0</v>
      </c>
      <c r="U80" s="80">
        <v>0</v>
      </c>
      <c r="V80" s="80">
        <f t="shared" si="136"/>
        <v>0</v>
      </c>
      <c r="W80" s="80">
        <v>0</v>
      </c>
      <c r="X80" s="80">
        <f t="shared" si="137"/>
        <v>0</v>
      </c>
      <c r="Y80" s="80">
        <f t="shared" si="138"/>
        <v>0</v>
      </c>
      <c r="Z80" s="80">
        <f t="shared" si="121"/>
        <v>0</v>
      </c>
      <c r="AA80" s="81">
        <f t="shared" si="139"/>
        <v>0</v>
      </c>
      <c r="AB80" s="81">
        <f t="shared" si="122"/>
        <v>0</v>
      </c>
      <c r="AC80" s="81">
        <v>0</v>
      </c>
      <c r="AD80" s="81">
        <f t="shared" si="140"/>
        <v>0</v>
      </c>
      <c r="AE80" s="81">
        <v>0</v>
      </c>
      <c r="AF80" s="81">
        <f t="shared" si="141"/>
        <v>0</v>
      </c>
      <c r="AG80" s="81">
        <f t="shared" si="142"/>
        <v>0</v>
      </c>
      <c r="AH80" s="81">
        <f t="shared" si="123"/>
        <v>0</v>
      </c>
      <c r="AI80" s="82">
        <f t="shared" si="143"/>
        <v>0</v>
      </c>
      <c r="AJ80" s="82">
        <f t="shared" si="124"/>
        <v>0</v>
      </c>
      <c r="AK80" s="82">
        <v>0</v>
      </c>
      <c r="AL80" s="82">
        <f t="shared" si="144"/>
        <v>0</v>
      </c>
      <c r="AM80" s="82">
        <v>0</v>
      </c>
      <c r="AN80" s="82">
        <f t="shared" si="145"/>
        <v>0</v>
      </c>
      <c r="AO80" s="82">
        <f t="shared" si="146"/>
        <v>0</v>
      </c>
      <c r="AP80" s="82">
        <f t="shared" si="125"/>
        <v>0</v>
      </c>
      <c r="AQ80" s="83">
        <f t="shared" si="147"/>
        <v>0</v>
      </c>
      <c r="AR80" s="83">
        <f t="shared" si="126"/>
        <v>0</v>
      </c>
      <c r="AS80" s="83">
        <v>0</v>
      </c>
      <c r="AT80" s="83">
        <f t="shared" si="148"/>
        <v>0</v>
      </c>
      <c r="AU80" s="83">
        <v>0</v>
      </c>
      <c r="AV80" s="83">
        <f t="shared" si="149"/>
        <v>0</v>
      </c>
      <c r="AW80" s="83">
        <f t="shared" si="150"/>
        <v>0</v>
      </c>
      <c r="AX80" s="83">
        <f t="shared" si="127"/>
        <v>0</v>
      </c>
    </row>
    <row r="81" spans="2:50" x14ac:dyDescent="0.35">
      <c r="B81" s="12" t="s">
        <v>27</v>
      </c>
      <c r="C81" s="85">
        <f>SUM(C64:C80)</f>
        <v>1251.5502171753139</v>
      </c>
      <c r="D81" s="85">
        <f t="shared" ref="D81:E81" si="151">SUM(D64:D80)</f>
        <v>1251.5502171753139</v>
      </c>
      <c r="E81" s="85">
        <f t="shared" si="151"/>
        <v>41.250449254999992</v>
      </c>
      <c r="F81" s="85">
        <v>40.620000000000005</v>
      </c>
      <c r="G81" s="85">
        <f t="shared" ref="G81:M81" si="152">SUM(G64:G80)</f>
        <v>0</v>
      </c>
      <c r="H81" s="85">
        <f t="shared" si="152"/>
        <v>0</v>
      </c>
      <c r="I81" s="85">
        <f t="shared" si="152"/>
        <v>1292.8006664303143</v>
      </c>
      <c r="J81" s="85">
        <f t="shared" si="152"/>
        <v>1292.1702171753141</v>
      </c>
      <c r="K81" s="86">
        <f t="shared" si="152"/>
        <v>1292.8006664303143</v>
      </c>
      <c r="L81" s="86">
        <f t="shared" si="152"/>
        <v>1292.1702171753141</v>
      </c>
      <c r="M81" s="86">
        <f t="shared" si="152"/>
        <v>112.30323899500002</v>
      </c>
      <c r="N81" s="86">
        <v>107.83134720900001</v>
      </c>
      <c r="O81" s="86">
        <f t="shared" ref="O81:U81" si="153">SUM(O64:O80)</f>
        <v>0.30452602600000001</v>
      </c>
      <c r="P81" s="86">
        <f t="shared" si="153"/>
        <v>0.30452602600000001</v>
      </c>
      <c r="Q81" s="86">
        <f t="shared" si="153"/>
        <v>1404.7993793993144</v>
      </c>
      <c r="R81" s="86">
        <f t="shared" si="153"/>
        <v>1399.6970383583141</v>
      </c>
      <c r="S81" s="87">
        <f t="shared" si="153"/>
        <v>1404.7993793993144</v>
      </c>
      <c r="T81" s="87">
        <f t="shared" si="153"/>
        <v>1399.6970383583141</v>
      </c>
      <c r="U81" s="87">
        <f t="shared" si="153"/>
        <v>8.6680870119999991</v>
      </c>
      <c r="V81" s="87">
        <v>8.67</v>
      </c>
      <c r="W81" s="87">
        <f t="shared" ref="W81:AC81" si="154">SUM(W64:W80)</f>
        <v>128.03068311000001</v>
      </c>
      <c r="X81" s="87">
        <f t="shared" si="154"/>
        <v>128.03068311000001</v>
      </c>
      <c r="Y81" s="87">
        <f t="shared" si="154"/>
        <v>1285.4367833013141</v>
      </c>
      <c r="Z81" s="87">
        <f t="shared" si="154"/>
        <v>1280.336355248314</v>
      </c>
      <c r="AA81" s="88">
        <f t="shared" si="154"/>
        <v>1285.4367833013141</v>
      </c>
      <c r="AB81" s="88">
        <f t="shared" si="154"/>
        <v>1280.336355248314</v>
      </c>
      <c r="AC81" s="88">
        <f t="shared" si="154"/>
        <v>49.47</v>
      </c>
      <c r="AD81" s="88">
        <v>48.269099999999995</v>
      </c>
      <c r="AE81" s="88">
        <f t="shared" ref="AE81:AK81" si="155">SUM(AE64:AE80)</f>
        <v>0</v>
      </c>
      <c r="AF81" s="88">
        <f t="shared" si="155"/>
        <v>0</v>
      </c>
      <c r="AG81" s="88">
        <f t="shared" si="155"/>
        <v>1334.9067833013141</v>
      </c>
      <c r="AH81" s="88">
        <f t="shared" si="155"/>
        <v>1328.605455248314</v>
      </c>
      <c r="AI81" s="89">
        <f t="shared" si="155"/>
        <v>1334.9067833013141</v>
      </c>
      <c r="AJ81" s="89">
        <f t="shared" si="155"/>
        <v>1328.605455248314</v>
      </c>
      <c r="AK81" s="89">
        <f t="shared" si="155"/>
        <v>120.3</v>
      </c>
      <c r="AL81" s="89">
        <v>88.809999999999988</v>
      </c>
      <c r="AM81" s="89">
        <f t="shared" ref="AM81:AS81" si="156">SUM(AM64:AM80)</f>
        <v>0</v>
      </c>
      <c r="AN81" s="89">
        <f t="shared" si="156"/>
        <v>0</v>
      </c>
      <c r="AO81" s="89">
        <f t="shared" si="156"/>
        <v>1455.2067833013141</v>
      </c>
      <c r="AP81" s="89">
        <f t="shared" si="156"/>
        <v>1417.4154552483139</v>
      </c>
      <c r="AQ81" s="90">
        <f t="shared" si="156"/>
        <v>1455.2067833013141</v>
      </c>
      <c r="AR81" s="90">
        <f t="shared" si="156"/>
        <v>1417.4154552483139</v>
      </c>
      <c r="AS81" s="90">
        <f t="shared" si="156"/>
        <v>251.45</v>
      </c>
      <c r="AT81" s="90">
        <v>0</v>
      </c>
      <c r="AU81" s="90">
        <f t="shared" ref="AU81:AX81" si="157">SUM(AU64:AU80)</f>
        <v>0</v>
      </c>
      <c r="AV81" s="90">
        <f t="shared" si="157"/>
        <v>0</v>
      </c>
      <c r="AW81" s="90">
        <f t="shared" si="157"/>
        <v>1706.6567833013141</v>
      </c>
      <c r="AX81" s="90">
        <f t="shared" si="157"/>
        <v>1417.4154552483139</v>
      </c>
    </row>
    <row r="82" spans="2:50" s="77" customFormat="1" x14ac:dyDescent="0.35">
      <c r="B82" s="70" t="s">
        <v>152</v>
      </c>
      <c r="C82" s="71"/>
      <c r="D82" s="71"/>
      <c r="E82" s="71"/>
      <c r="F82" s="71"/>
      <c r="G82" s="71"/>
      <c r="H82" s="71"/>
      <c r="I82" s="71"/>
      <c r="J82" s="71"/>
      <c r="K82" s="72"/>
      <c r="L82" s="72"/>
      <c r="M82" s="72"/>
      <c r="N82" s="72"/>
      <c r="O82" s="72"/>
      <c r="P82" s="72"/>
      <c r="Q82" s="72"/>
      <c r="R82" s="72"/>
      <c r="S82" s="73"/>
      <c r="T82" s="73"/>
      <c r="U82" s="73"/>
      <c r="V82" s="73"/>
      <c r="W82" s="73"/>
      <c r="X82" s="73"/>
      <c r="Y82" s="73"/>
      <c r="Z82" s="73"/>
      <c r="AA82" s="74"/>
      <c r="AB82" s="74"/>
      <c r="AC82" s="74"/>
      <c r="AD82" s="74"/>
      <c r="AE82" s="74"/>
      <c r="AF82" s="74"/>
      <c r="AG82" s="74"/>
      <c r="AH82" s="74"/>
      <c r="AI82" s="75"/>
      <c r="AJ82" s="75"/>
      <c r="AK82" s="75"/>
      <c r="AL82" s="75"/>
      <c r="AM82" s="75"/>
      <c r="AN82" s="75"/>
      <c r="AO82" s="75"/>
      <c r="AP82" s="75"/>
      <c r="AQ82" s="76"/>
      <c r="AR82" s="76"/>
      <c r="AS82" s="76"/>
      <c r="AT82" s="76"/>
      <c r="AU82" s="76"/>
      <c r="AV82" s="76"/>
      <c r="AW82" s="76"/>
      <c r="AX82" s="76"/>
    </row>
    <row r="83" spans="2:50" x14ac:dyDescent="0.35">
      <c r="B83" s="7" t="s">
        <v>133</v>
      </c>
      <c r="C83" s="78">
        <v>1.7293491000000001</v>
      </c>
      <c r="D83" s="78">
        <v>1.7293491000000001</v>
      </c>
      <c r="E83" s="78">
        <v>0</v>
      </c>
      <c r="F83" s="78">
        <f>IFERROR(E83/E$100*F$100,0)</f>
        <v>0</v>
      </c>
      <c r="G83" s="78">
        <v>0</v>
      </c>
      <c r="H83" s="78">
        <f>G83</f>
        <v>0</v>
      </c>
      <c r="I83" s="78">
        <f>C83+E83-G83</f>
        <v>1.7293491000000001</v>
      </c>
      <c r="J83" s="78">
        <f t="shared" ref="J83:J99" si="158">D83+F83-H83</f>
        <v>1.7293491000000001</v>
      </c>
      <c r="K83" s="79">
        <f>I83</f>
        <v>1.7293491000000001</v>
      </c>
      <c r="L83" s="79">
        <f t="shared" ref="L83:L99" si="159">J83</f>
        <v>1.7293491000000001</v>
      </c>
      <c r="M83" s="79">
        <v>0</v>
      </c>
      <c r="N83" s="79">
        <f>IFERROR(M83/M$100*N$100,0)</f>
        <v>0</v>
      </c>
      <c r="O83" s="79">
        <v>0</v>
      </c>
      <c r="P83" s="79">
        <f>O83</f>
        <v>0</v>
      </c>
      <c r="Q83" s="79">
        <f>K83+M83-O83</f>
        <v>1.7293491000000001</v>
      </c>
      <c r="R83" s="79">
        <f t="shared" ref="R83:R99" si="160">L83+N83-P83</f>
        <v>1.7293491000000001</v>
      </c>
      <c r="S83" s="80">
        <f>Q83</f>
        <v>1.7293491000000001</v>
      </c>
      <c r="T83" s="80">
        <f t="shared" ref="T83:T99" si="161">R83</f>
        <v>1.7293491000000001</v>
      </c>
      <c r="U83" s="80">
        <v>0</v>
      </c>
      <c r="V83" s="80">
        <f>IFERROR(U83/U$100*V$100,0)</f>
        <v>0</v>
      </c>
      <c r="W83" s="80">
        <v>0</v>
      </c>
      <c r="X83" s="80">
        <f>W83</f>
        <v>0</v>
      </c>
      <c r="Y83" s="80">
        <f>S83+U83-W83</f>
        <v>1.7293491000000001</v>
      </c>
      <c r="Z83" s="80">
        <f t="shared" ref="Z83:Z99" si="162">T83+V83-X83</f>
        <v>1.7293491000000001</v>
      </c>
      <c r="AA83" s="81">
        <f>Y83</f>
        <v>1.7293491000000001</v>
      </c>
      <c r="AB83" s="81">
        <f t="shared" ref="AB83:AB99" si="163">Z83</f>
        <v>1.7293491000000001</v>
      </c>
      <c r="AC83" s="81">
        <v>0</v>
      </c>
      <c r="AD83" s="81">
        <f>IFERROR(AC83/AC$100*AD$100,0)</f>
        <v>0</v>
      </c>
      <c r="AE83" s="81">
        <v>0</v>
      </c>
      <c r="AF83" s="81">
        <f>AE83</f>
        <v>0</v>
      </c>
      <c r="AG83" s="81">
        <f>AA83+AC83-AE83</f>
        <v>1.7293491000000001</v>
      </c>
      <c r="AH83" s="81">
        <f t="shared" ref="AH83:AH99" si="164">AB83+AD83-AF83</f>
        <v>1.7293491000000001</v>
      </c>
      <c r="AI83" s="82">
        <f>AG83</f>
        <v>1.7293491000000001</v>
      </c>
      <c r="AJ83" s="82">
        <f t="shared" ref="AJ83:AJ99" si="165">AH83</f>
        <v>1.7293491000000001</v>
      </c>
      <c r="AK83" s="82">
        <v>0</v>
      </c>
      <c r="AL83" s="82">
        <f>IFERROR(AK83/AK$100*AL$100,0)</f>
        <v>0</v>
      </c>
      <c r="AM83" s="82">
        <v>0</v>
      </c>
      <c r="AN83" s="82">
        <f>AM83</f>
        <v>0</v>
      </c>
      <c r="AO83" s="82">
        <f>AI83+AK83-AM83</f>
        <v>1.7293491000000001</v>
      </c>
      <c r="AP83" s="82">
        <f t="shared" ref="AP83:AP99" si="166">AJ83+AL83-AN83</f>
        <v>1.7293491000000001</v>
      </c>
      <c r="AQ83" s="83">
        <f>AO83</f>
        <v>1.7293491000000001</v>
      </c>
      <c r="AR83" s="83">
        <f t="shared" ref="AR83:AR99" si="167">AP83</f>
        <v>1.7293491000000001</v>
      </c>
      <c r="AS83" s="83">
        <v>0</v>
      </c>
      <c r="AT83" s="83">
        <f>IFERROR(AS83/AS$100*AT$100,0)</f>
        <v>0</v>
      </c>
      <c r="AU83" s="83">
        <v>0</v>
      </c>
      <c r="AV83" s="83">
        <f>AU83</f>
        <v>0</v>
      </c>
      <c r="AW83" s="83">
        <f>AQ83+AS83-AU83</f>
        <v>1.7293491000000001</v>
      </c>
      <c r="AX83" s="83">
        <f t="shared" ref="AX83:AX99" si="168">AR83+AT83-AV83</f>
        <v>1.7293491000000001</v>
      </c>
    </row>
    <row r="84" spans="2:50" x14ac:dyDescent="0.35">
      <c r="B84" s="7" t="s">
        <v>134</v>
      </c>
      <c r="C84" s="78">
        <v>29.81634727082049</v>
      </c>
      <c r="D84" s="78">
        <v>29.81634727082049</v>
      </c>
      <c r="E84" s="78">
        <v>1.1490501</v>
      </c>
      <c r="F84" s="78">
        <f t="shared" ref="F84:F99" si="169">IFERROR(E84/E$100*F$100,0)</f>
        <v>1.1490030919312046</v>
      </c>
      <c r="G84" s="78">
        <v>5.7629600000000003E-2</v>
      </c>
      <c r="H84" s="78">
        <f t="shared" ref="H84:H99" si="170">G84</f>
        <v>5.7629600000000003E-2</v>
      </c>
      <c r="I84" s="78">
        <f t="shared" ref="I84:I99" si="171">C84+E84-G84</f>
        <v>30.907767770820492</v>
      </c>
      <c r="J84" s="78">
        <f t="shared" si="158"/>
        <v>30.907720762751698</v>
      </c>
      <c r="K84" s="79">
        <f t="shared" ref="K84:K99" si="172">I84</f>
        <v>30.907767770820492</v>
      </c>
      <c r="L84" s="79">
        <f t="shared" si="159"/>
        <v>30.907720762751698</v>
      </c>
      <c r="M84" s="79">
        <v>0.32648430000000001</v>
      </c>
      <c r="N84" s="79">
        <f t="shared" ref="N84:N99" si="173">IFERROR(M84/M$100*N$100,0)</f>
        <v>0.23406424647438986</v>
      </c>
      <c r="O84" s="79">
        <v>0</v>
      </c>
      <c r="P84" s="79">
        <f t="shared" ref="P84:P99" si="174">O84</f>
        <v>0</v>
      </c>
      <c r="Q84" s="79">
        <f t="shared" ref="Q84:Q99" si="175">K84+M84-O84</f>
        <v>31.234252070820492</v>
      </c>
      <c r="R84" s="79">
        <f t="shared" si="160"/>
        <v>31.141785009226087</v>
      </c>
      <c r="S84" s="80">
        <f t="shared" ref="S84:S99" si="176">Q84</f>
        <v>31.234252070820492</v>
      </c>
      <c r="T84" s="80">
        <f t="shared" si="161"/>
        <v>31.141785009226087</v>
      </c>
      <c r="U84" s="80">
        <v>0.84830589999999995</v>
      </c>
      <c r="V84" s="80">
        <f t="shared" ref="V84:V99" si="177">IFERROR(U84/U$100*V$100,0)</f>
        <v>0.84850887653489304</v>
      </c>
      <c r="W84" s="80">
        <v>0</v>
      </c>
      <c r="X84" s="80">
        <f t="shared" ref="X84:X99" si="178">W84</f>
        <v>0</v>
      </c>
      <c r="Y84" s="80">
        <f t="shared" ref="Y84:Y99" si="179">S84+U84-W84</f>
        <v>32.082557970820496</v>
      </c>
      <c r="Z84" s="80">
        <f t="shared" si="162"/>
        <v>31.99029388576098</v>
      </c>
      <c r="AA84" s="81">
        <f t="shared" ref="AA84:AA99" si="180">Y84</f>
        <v>32.082557970820496</v>
      </c>
      <c r="AB84" s="81">
        <f t="shared" si="163"/>
        <v>31.99029388576098</v>
      </c>
      <c r="AC84" s="81">
        <v>0</v>
      </c>
      <c r="AD84" s="81">
        <f t="shared" ref="AD84:AD99" si="181">IFERROR(AC84/AC$100*AD$100,0)</f>
        <v>0</v>
      </c>
      <c r="AE84" s="81">
        <v>0</v>
      </c>
      <c r="AF84" s="81">
        <f t="shared" ref="AF84:AF99" si="182">AE84</f>
        <v>0</v>
      </c>
      <c r="AG84" s="81">
        <f t="shared" ref="AG84:AG99" si="183">AA84+AC84-AE84</f>
        <v>32.082557970820496</v>
      </c>
      <c r="AH84" s="81">
        <f t="shared" si="164"/>
        <v>31.99029388576098</v>
      </c>
      <c r="AI84" s="82">
        <f t="shared" ref="AI84:AI99" si="184">AG84</f>
        <v>32.082557970820496</v>
      </c>
      <c r="AJ84" s="82">
        <f t="shared" si="165"/>
        <v>31.99029388576098</v>
      </c>
      <c r="AK84" s="82">
        <v>0</v>
      </c>
      <c r="AL84" s="82">
        <f t="shared" ref="AL84:AL99" si="185">IFERROR(AK84/AK$100*AL$100,0)</f>
        <v>0</v>
      </c>
      <c r="AM84" s="82">
        <v>0</v>
      </c>
      <c r="AN84" s="82">
        <f t="shared" ref="AN84:AN99" si="186">AM84</f>
        <v>0</v>
      </c>
      <c r="AO84" s="82">
        <f t="shared" ref="AO84:AO99" si="187">AI84+AK84-AM84</f>
        <v>32.082557970820496</v>
      </c>
      <c r="AP84" s="82">
        <f t="shared" si="166"/>
        <v>31.99029388576098</v>
      </c>
      <c r="AQ84" s="83">
        <f t="shared" ref="AQ84:AQ99" si="188">AO84</f>
        <v>32.082557970820496</v>
      </c>
      <c r="AR84" s="83">
        <f t="shared" si="167"/>
        <v>31.99029388576098</v>
      </c>
      <c r="AS84" s="83">
        <v>0</v>
      </c>
      <c r="AT84" s="83">
        <f t="shared" ref="AT84:AT99" si="189">IFERROR(AS84/AS$100*AT$100,0)</f>
        <v>0</v>
      </c>
      <c r="AU84" s="83">
        <v>0</v>
      </c>
      <c r="AV84" s="83">
        <f t="shared" ref="AV84:AV99" si="190">AU84</f>
        <v>0</v>
      </c>
      <c r="AW84" s="83">
        <f t="shared" ref="AW84:AW99" si="191">AQ84+AS84-AU84</f>
        <v>32.082557970820496</v>
      </c>
      <c r="AX84" s="83">
        <f t="shared" si="168"/>
        <v>31.99029388576098</v>
      </c>
    </row>
    <row r="85" spans="2:50" ht="31" x14ac:dyDescent="0.35">
      <c r="B85" s="84" t="s">
        <v>135</v>
      </c>
      <c r="C85" s="78">
        <v>0</v>
      </c>
      <c r="D85" s="78">
        <v>0</v>
      </c>
      <c r="E85" s="78">
        <v>0</v>
      </c>
      <c r="F85" s="78">
        <f t="shared" si="169"/>
        <v>0</v>
      </c>
      <c r="G85" s="78">
        <v>0</v>
      </c>
      <c r="H85" s="78">
        <f t="shared" si="170"/>
        <v>0</v>
      </c>
      <c r="I85" s="78">
        <f t="shared" si="171"/>
        <v>0</v>
      </c>
      <c r="J85" s="78">
        <f t="shared" si="158"/>
        <v>0</v>
      </c>
      <c r="K85" s="79">
        <f t="shared" si="172"/>
        <v>0</v>
      </c>
      <c r="L85" s="79">
        <f t="shared" si="159"/>
        <v>0</v>
      </c>
      <c r="M85" s="79">
        <v>0</v>
      </c>
      <c r="N85" s="79">
        <f t="shared" si="173"/>
        <v>0</v>
      </c>
      <c r="O85" s="79">
        <v>0</v>
      </c>
      <c r="P85" s="79">
        <f t="shared" si="174"/>
        <v>0</v>
      </c>
      <c r="Q85" s="79">
        <f t="shared" si="175"/>
        <v>0</v>
      </c>
      <c r="R85" s="79">
        <f t="shared" si="160"/>
        <v>0</v>
      </c>
      <c r="S85" s="80">
        <f t="shared" si="176"/>
        <v>0</v>
      </c>
      <c r="T85" s="80">
        <f t="shared" si="161"/>
        <v>0</v>
      </c>
      <c r="U85" s="80">
        <v>0</v>
      </c>
      <c r="V85" s="80">
        <f t="shared" si="177"/>
        <v>0</v>
      </c>
      <c r="W85" s="80">
        <v>0</v>
      </c>
      <c r="X85" s="80">
        <f t="shared" si="178"/>
        <v>0</v>
      </c>
      <c r="Y85" s="80">
        <f t="shared" si="179"/>
        <v>0</v>
      </c>
      <c r="Z85" s="80">
        <f t="shared" si="162"/>
        <v>0</v>
      </c>
      <c r="AA85" s="81">
        <f t="shared" si="180"/>
        <v>0</v>
      </c>
      <c r="AB85" s="81">
        <f t="shared" si="163"/>
        <v>0</v>
      </c>
      <c r="AC85" s="81">
        <v>0</v>
      </c>
      <c r="AD85" s="81">
        <f t="shared" si="181"/>
        <v>0</v>
      </c>
      <c r="AE85" s="81">
        <v>0</v>
      </c>
      <c r="AF85" s="81">
        <f t="shared" si="182"/>
        <v>0</v>
      </c>
      <c r="AG85" s="81">
        <f t="shared" si="183"/>
        <v>0</v>
      </c>
      <c r="AH85" s="81">
        <f t="shared" si="164"/>
        <v>0</v>
      </c>
      <c r="AI85" s="82">
        <f t="shared" si="184"/>
        <v>0</v>
      </c>
      <c r="AJ85" s="82">
        <f t="shared" si="165"/>
        <v>0</v>
      </c>
      <c r="AK85" s="82">
        <v>0</v>
      </c>
      <c r="AL85" s="82">
        <f t="shared" si="185"/>
        <v>0</v>
      </c>
      <c r="AM85" s="82">
        <v>0</v>
      </c>
      <c r="AN85" s="82">
        <f t="shared" si="186"/>
        <v>0</v>
      </c>
      <c r="AO85" s="82">
        <f t="shared" si="187"/>
        <v>0</v>
      </c>
      <c r="AP85" s="82">
        <f t="shared" si="166"/>
        <v>0</v>
      </c>
      <c r="AQ85" s="83">
        <f t="shared" si="188"/>
        <v>0</v>
      </c>
      <c r="AR85" s="83">
        <f t="shared" si="167"/>
        <v>0</v>
      </c>
      <c r="AS85" s="83">
        <v>0</v>
      </c>
      <c r="AT85" s="83">
        <f t="shared" si="189"/>
        <v>0</v>
      </c>
      <c r="AU85" s="83">
        <v>0</v>
      </c>
      <c r="AV85" s="83">
        <f t="shared" si="190"/>
        <v>0</v>
      </c>
      <c r="AW85" s="83">
        <f t="shared" si="191"/>
        <v>0</v>
      </c>
      <c r="AX85" s="83">
        <f t="shared" si="168"/>
        <v>0</v>
      </c>
    </row>
    <row r="86" spans="2:50" x14ac:dyDescent="0.35">
      <c r="B86" s="7" t="s">
        <v>136</v>
      </c>
      <c r="C86" s="78">
        <v>53.463989677021338</v>
      </c>
      <c r="D86" s="78">
        <v>53.463989677021338</v>
      </c>
      <c r="E86" s="78">
        <v>0</v>
      </c>
      <c r="F86" s="78">
        <f t="shared" si="169"/>
        <v>0</v>
      </c>
      <c r="G86" s="78">
        <v>0.2179413</v>
      </c>
      <c r="H86" s="78">
        <f t="shared" si="170"/>
        <v>0.2179413</v>
      </c>
      <c r="I86" s="78">
        <f t="shared" si="171"/>
        <v>53.246048377021339</v>
      </c>
      <c r="J86" s="78">
        <f t="shared" si="158"/>
        <v>53.246048377021339</v>
      </c>
      <c r="K86" s="79">
        <f t="shared" si="172"/>
        <v>53.246048377021339</v>
      </c>
      <c r="L86" s="79">
        <f t="shared" si="159"/>
        <v>53.246048377021339</v>
      </c>
      <c r="M86" s="79">
        <v>0</v>
      </c>
      <c r="N86" s="79">
        <f t="shared" si="173"/>
        <v>0</v>
      </c>
      <c r="O86" s="79">
        <v>0</v>
      </c>
      <c r="P86" s="79">
        <f t="shared" si="174"/>
        <v>0</v>
      </c>
      <c r="Q86" s="79">
        <f t="shared" si="175"/>
        <v>53.246048377021339</v>
      </c>
      <c r="R86" s="79">
        <f t="shared" si="160"/>
        <v>53.246048377021339</v>
      </c>
      <c r="S86" s="80">
        <f t="shared" si="176"/>
        <v>53.246048377021339</v>
      </c>
      <c r="T86" s="80">
        <f t="shared" si="161"/>
        <v>53.246048377021339</v>
      </c>
      <c r="U86" s="80">
        <v>0</v>
      </c>
      <c r="V86" s="80">
        <f t="shared" si="177"/>
        <v>0</v>
      </c>
      <c r="W86" s="80">
        <v>0</v>
      </c>
      <c r="X86" s="80">
        <f t="shared" si="178"/>
        <v>0</v>
      </c>
      <c r="Y86" s="80">
        <f t="shared" si="179"/>
        <v>53.246048377021339</v>
      </c>
      <c r="Z86" s="80">
        <f t="shared" si="162"/>
        <v>53.246048377021339</v>
      </c>
      <c r="AA86" s="81">
        <f t="shared" si="180"/>
        <v>53.246048377021339</v>
      </c>
      <c r="AB86" s="81">
        <f t="shared" si="163"/>
        <v>53.246048377021339</v>
      </c>
      <c r="AC86" s="81">
        <v>0</v>
      </c>
      <c r="AD86" s="81">
        <f t="shared" si="181"/>
        <v>0</v>
      </c>
      <c r="AE86" s="81">
        <v>0</v>
      </c>
      <c r="AF86" s="81">
        <f t="shared" si="182"/>
        <v>0</v>
      </c>
      <c r="AG86" s="81">
        <f t="shared" si="183"/>
        <v>53.246048377021339</v>
      </c>
      <c r="AH86" s="81">
        <f t="shared" si="164"/>
        <v>53.246048377021339</v>
      </c>
      <c r="AI86" s="82">
        <f t="shared" si="184"/>
        <v>53.246048377021339</v>
      </c>
      <c r="AJ86" s="82">
        <f t="shared" si="165"/>
        <v>53.246048377021339</v>
      </c>
      <c r="AK86" s="82">
        <v>0</v>
      </c>
      <c r="AL86" s="82">
        <f t="shared" si="185"/>
        <v>0</v>
      </c>
      <c r="AM86" s="82">
        <v>0</v>
      </c>
      <c r="AN86" s="82">
        <f t="shared" si="186"/>
        <v>0</v>
      </c>
      <c r="AO86" s="82">
        <f t="shared" si="187"/>
        <v>53.246048377021339</v>
      </c>
      <c r="AP86" s="82">
        <f t="shared" si="166"/>
        <v>53.246048377021339</v>
      </c>
      <c r="AQ86" s="83">
        <f t="shared" si="188"/>
        <v>53.246048377021339</v>
      </c>
      <c r="AR86" s="83">
        <f t="shared" si="167"/>
        <v>53.246048377021339</v>
      </c>
      <c r="AS86" s="83">
        <v>0</v>
      </c>
      <c r="AT86" s="83">
        <f t="shared" si="189"/>
        <v>0</v>
      </c>
      <c r="AU86" s="83">
        <v>0</v>
      </c>
      <c r="AV86" s="83">
        <f t="shared" si="190"/>
        <v>0</v>
      </c>
      <c r="AW86" s="83">
        <f t="shared" si="191"/>
        <v>53.246048377021339</v>
      </c>
      <c r="AX86" s="83">
        <f t="shared" si="168"/>
        <v>53.246048377021339</v>
      </c>
    </row>
    <row r="87" spans="2:50" x14ac:dyDescent="0.35">
      <c r="B87" s="7" t="s">
        <v>137</v>
      </c>
      <c r="C87" s="78">
        <v>159.70097374442784</v>
      </c>
      <c r="D87" s="78">
        <v>159.70097374442784</v>
      </c>
      <c r="E87" s="78">
        <v>15.1355307</v>
      </c>
      <c r="F87" s="78">
        <f t="shared" si="169"/>
        <v>15.134911499785492</v>
      </c>
      <c r="G87" s="78">
        <v>0</v>
      </c>
      <c r="H87" s="78">
        <f t="shared" si="170"/>
        <v>0</v>
      </c>
      <c r="I87" s="78">
        <f t="shared" si="171"/>
        <v>174.83650444442785</v>
      </c>
      <c r="J87" s="78">
        <f t="shared" si="158"/>
        <v>174.83588524421333</v>
      </c>
      <c r="K87" s="79">
        <f t="shared" si="172"/>
        <v>174.83650444442785</v>
      </c>
      <c r="L87" s="79">
        <f t="shared" si="159"/>
        <v>174.83588524421333</v>
      </c>
      <c r="M87" s="79">
        <v>1.7125566000000001</v>
      </c>
      <c r="N87" s="79">
        <f t="shared" si="173"/>
        <v>1.227771963686288</v>
      </c>
      <c r="O87" s="79">
        <v>0</v>
      </c>
      <c r="P87" s="79">
        <f t="shared" si="174"/>
        <v>0</v>
      </c>
      <c r="Q87" s="79">
        <f t="shared" si="175"/>
        <v>176.54906104442784</v>
      </c>
      <c r="R87" s="79">
        <f t="shared" si="160"/>
        <v>176.06365720789961</v>
      </c>
      <c r="S87" s="80">
        <f t="shared" si="176"/>
        <v>176.54906104442784</v>
      </c>
      <c r="T87" s="80">
        <f t="shared" si="161"/>
        <v>176.06365720789961</v>
      </c>
      <c r="U87" s="80">
        <v>3.5184926999999999</v>
      </c>
      <c r="V87" s="80">
        <f t="shared" si="177"/>
        <v>3.5193345796289082</v>
      </c>
      <c r="W87" s="80">
        <v>0</v>
      </c>
      <c r="X87" s="80">
        <f t="shared" si="178"/>
        <v>0</v>
      </c>
      <c r="Y87" s="80">
        <f t="shared" si="179"/>
        <v>180.06755374442784</v>
      </c>
      <c r="Z87" s="80">
        <f t="shared" si="162"/>
        <v>179.58299178752853</v>
      </c>
      <c r="AA87" s="81">
        <f t="shared" si="180"/>
        <v>180.06755374442784</v>
      </c>
      <c r="AB87" s="81">
        <f t="shared" si="163"/>
        <v>179.58299178752853</v>
      </c>
      <c r="AC87" s="81">
        <v>0</v>
      </c>
      <c r="AD87" s="81">
        <f t="shared" si="181"/>
        <v>0</v>
      </c>
      <c r="AE87" s="81">
        <v>0</v>
      </c>
      <c r="AF87" s="81">
        <f t="shared" si="182"/>
        <v>0</v>
      </c>
      <c r="AG87" s="81">
        <f t="shared" si="183"/>
        <v>180.06755374442784</v>
      </c>
      <c r="AH87" s="81">
        <f t="shared" si="164"/>
        <v>179.58299178752853</v>
      </c>
      <c r="AI87" s="82">
        <f t="shared" si="184"/>
        <v>180.06755374442784</v>
      </c>
      <c r="AJ87" s="82">
        <f t="shared" si="165"/>
        <v>179.58299178752853</v>
      </c>
      <c r="AK87" s="82">
        <v>0</v>
      </c>
      <c r="AL87" s="82">
        <f t="shared" si="185"/>
        <v>0</v>
      </c>
      <c r="AM87" s="82">
        <v>0</v>
      </c>
      <c r="AN87" s="82">
        <f t="shared" si="186"/>
        <v>0</v>
      </c>
      <c r="AO87" s="82">
        <f t="shared" si="187"/>
        <v>180.06755374442784</v>
      </c>
      <c r="AP87" s="82">
        <f t="shared" si="166"/>
        <v>179.58299178752853</v>
      </c>
      <c r="AQ87" s="83">
        <f t="shared" si="188"/>
        <v>180.06755374442784</v>
      </c>
      <c r="AR87" s="83">
        <f t="shared" si="167"/>
        <v>179.58299178752853</v>
      </c>
      <c r="AS87" s="83">
        <v>0</v>
      </c>
      <c r="AT87" s="83">
        <f t="shared" si="189"/>
        <v>0</v>
      </c>
      <c r="AU87" s="83">
        <v>0</v>
      </c>
      <c r="AV87" s="83">
        <f t="shared" si="190"/>
        <v>0</v>
      </c>
      <c r="AW87" s="83">
        <f t="shared" si="191"/>
        <v>180.06755374442784</v>
      </c>
      <c r="AX87" s="83">
        <f t="shared" si="168"/>
        <v>179.58299178752853</v>
      </c>
    </row>
    <row r="88" spans="2:50" x14ac:dyDescent="0.35">
      <c r="B88" s="7" t="s">
        <v>138</v>
      </c>
      <c r="C88" s="78">
        <v>507.02242353608557</v>
      </c>
      <c r="D88" s="78">
        <v>507.02242353608557</v>
      </c>
      <c r="E88" s="78">
        <v>17.624108100000001</v>
      </c>
      <c r="F88" s="78">
        <f t="shared" si="169"/>
        <v>17.623387091154498</v>
      </c>
      <c r="G88" s="78">
        <v>5.9537122999999994</v>
      </c>
      <c r="H88" s="78">
        <f t="shared" si="170"/>
        <v>5.9537122999999994</v>
      </c>
      <c r="I88" s="78">
        <f t="shared" si="171"/>
        <v>518.69281933608556</v>
      </c>
      <c r="J88" s="78">
        <f t="shared" si="158"/>
        <v>518.69209832724005</v>
      </c>
      <c r="K88" s="79">
        <f t="shared" si="172"/>
        <v>518.69281933608556</v>
      </c>
      <c r="L88" s="79">
        <f t="shared" si="159"/>
        <v>518.69209832724005</v>
      </c>
      <c r="M88" s="79">
        <v>2.9471384999999999</v>
      </c>
      <c r="N88" s="79">
        <f t="shared" si="173"/>
        <v>2.1128726626614625</v>
      </c>
      <c r="O88" s="79">
        <v>0</v>
      </c>
      <c r="P88" s="79">
        <f t="shared" si="174"/>
        <v>0</v>
      </c>
      <c r="Q88" s="79">
        <f t="shared" si="175"/>
        <v>521.63995783608561</v>
      </c>
      <c r="R88" s="79">
        <f t="shared" si="160"/>
        <v>520.80497098990156</v>
      </c>
      <c r="S88" s="80">
        <f t="shared" si="176"/>
        <v>521.63995783608561</v>
      </c>
      <c r="T88" s="80">
        <f t="shared" si="161"/>
        <v>520.80497098990156</v>
      </c>
      <c r="U88" s="80">
        <v>3.7304941999999999</v>
      </c>
      <c r="V88" s="80">
        <f t="shared" si="177"/>
        <v>3.7313868058231527</v>
      </c>
      <c r="W88" s="80">
        <v>0</v>
      </c>
      <c r="X88" s="80">
        <f t="shared" si="178"/>
        <v>0</v>
      </c>
      <c r="Y88" s="80">
        <f t="shared" si="179"/>
        <v>525.37045203608557</v>
      </c>
      <c r="Z88" s="80">
        <f t="shared" si="162"/>
        <v>524.53635779572471</v>
      </c>
      <c r="AA88" s="81">
        <f t="shared" si="180"/>
        <v>525.37045203608557</v>
      </c>
      <c r="AB88" s="81">
        <f t="shared" si="163"/>
        <v>524.53635779572471</v>
      </c>
      <c r="AC88" s="81">
        <v>6.19</v>
      </c>
      <c r="AD88" s="81">
        <f t="shared" si="181"/>
        <v>6.19</v>
      </c>
      <c r="AE88" s="81">
        <v>0</v>
      </c>
      <c r="AF88" s="81">
        <f t="shared" si="182"/>
        <v>0</v>
      </c>
      <c r="AG88" s="81">
        <f t="shared" si="183"/>
        <v>531.56045203608562</v>
      </c>
      <c r="AH88" s="81">
        <f t="shared" si="164"/>
        <v>530.72635779572477</v>
      </c>
      <c r="AI88" s="82">
        <f t="shared" si="184"/>
        <v>531.56045203608562</v>
      </c>
      <c r="AJ88" s="82">
        <f t="shared" si="165"/>
        <v>530.72635779572477</v>
      </c>
      <c r="AK88" s="82">
        <v>49.98</v>
      </c>
      <c r="AL88" s="82">
        <f t="shared" si="185"/>
        <v>29.759999999999998</v>
      </c>
      <c r="AM88" s="82">
        <v>0</v>
      </c>
      <c r="AN88" s="82">
        <f t="shared" si="186"/>
        <v>0</v>
      </c>
      <c r="AO88" s="82">
        <f t="shared" si="187"/>
        <v>581.54045203608564</v>
      </c>
      <c r="AP88" s="82">
        <f t="shared" si="166"/>
        <v>560.48635779572476</v>
      </c>
      <c r="AQ88" s="83">
        <f t="shared" si="188"/>
        <v>581.54045203608564</v>
      </c>
      <c r="AR88" s="83">
        <f t="shared" si="167"/>
        <v>560.48635779572476</v>
      </c>
      <c r="AS88" s="83">
        <v>83.04</v>
      </c>
      <c r="AT88" s="83">
        <f t="shared" si="189"/>
        <v>10.719999999999999</v>
      </c>
      <c r="AU88" s="83">
        <v>0</v>
      </c>
      <c r="AV88" s="83">
        <f t="shared" si="190"/>
        <v>0</v>
      </c>
      <c r="AW88" s="83">
        <f t="shared" si="191"/>
        <v>664.5804520360856</v>
      </c>
      <c r="AX88" s="83">
        <f t="shared" si="168"/>
        <v>571.20635779572478</v>
      </c>
    </row>
    <row r="89" spans="2:50" x14ac:dyDescent="0.35">
      <c r="B89" s="7" t="s">
        <v>139</v>
      </c>
      <c r="C89" s="78">
        <v>0</v>
      </c>
      <c r="D89" s="78">
        <v>0</v>
      </c>
      <c r="E89" s="78">
        <v>0</v>
      </c>
      <c r="F89" s="78">
        <f t="shared" si="169"/>
        <v>0</v>
      </c>
      <c r="G89" s="78">
        <v>0</v>
      </c>
      <c r="H89" s="78">
        <f t="shared" si="170"/>
        <v>0</v>
      </c>
      <c r="I89" s="78">
        <f t="shared" si="171"/>
        <v>0</v>
      </c>
      <c r="J89" s="78">
        <f t="shared" si="158"/>
        <v>0</v>
      </c>
      <c r="K89" s="79">
        <f t="shared" si="172"/>
        <v>0</v>
      </c>
      <c r="L89" s="79">
        <f t="shared" si="159"/>
        <v>0</v>
      </c>
      <c r="M89" s="79">
        <v>0</v>
      </c>
      <c r="N89" s="79">
        <f t="shared" si="173"/>
        <v>0</v>
      </c>
      <c r="O89" s="79">
        <v>0</v>
      </c>
      <c r="P89" s="79">
        <f t="shared" si="174"/>
        <v>0</v>
      </c>
      <c r="Q89" s="79">
        <f t="shared" si="175"/>
        <v>0</v>
      </c>
      <c r="R89" s="79">
        <f t="shared" si="160"/>
        <v>0</v>
      </c>
      <c r="S89" s="80">
        <f t="shared" si="176"/>
        <v>0</v>
      </c>
      <c r="T89" s="80">
        <f t="shared" si="161"/>
        <v>0</v>
      </c>
      <c r="U89" s="80">
        <v>0</v>
      </c>
      <c r="V89" s="80">
        <f t="shared" si="177"/>
        <v>0</v>
      </c>
      <c r="W89" s="80">
        <v>0</v>
      </c>
      <c r="X89" s="80">
        <f t="shared" si="178"/>
        <v>0</v>
      </c>
      <c r="Y89" s="80">
        <f t="shared" si="179"/>
        <v>0</v>
      </c>
      <c r="Z89" s="80">
        <f t="shared" si="162"/>
        <v>0</v>
      </c>
      <c r="AA89" s="81">
        <f t="shared" si="180"/>
        <v>0</v>
      </c>
      <c r="AB89" s="81">
        <f t="shared" si="163"/>
        <v>0</v>
      </c>
      <c r="AC89" s="81">
        <v>0</v>
      </c>
      <c r="AD89" s="81">
        <f t="shared" si="181"/>
        <v>0</v>
      </c>
      <c r="AE89" s="81">
        <v>0</v>
      </c>
      <c r="AF89" s="81">
        <f t="shared" si="182"/>
        <v>0</v>
      </c>
      <c r="AG89" s="81">
        <f t="shared" si="183"/>
        <v>0</v>
      </c>
      <c r="AH89" s="81">
        <f t="shared" si="164"/>
        <v>0</v>
      </c>
      <c r="AI89" s="82">
        <f t="shared" si="184"/>
        <v>0</v>
      </c>
      <c r="AJ89" s="82">
        <f t="shared" si="165"/>
        <v>0</v>
      </c>
      <c r="AK89" s="82">
        <v>0</v>
      </c>
      <c r="AL89" s="82">
        <f t="shared" si="185"/>
        <v>0</v>
      </c>
      <c r="AM89" s="82">
        <v>0</v>
      </c>
      <c r="AN89" s="82">
        <f t="shared" si="186"/>
        <v>0</v>
      </c>
      <c r="AO89" s="82">
        <f t="shared" si="187"/>
        <v>0</v>
      </c>
      <c r="AP89" s="82">
        <f t="shared" si="166"/>
        <v>0</v>
      </c>
      <c r="AQ89" s="83">
        <f t="shared" si="188"/>
        <v>0</v>
      </c>
      <c r="AR89" s="83">
        <f t="shared" si="167"/>
        <v>0</v>
      </c>
      <c r="AS89" s="83">
        <v>0</v>
      </c>
      <c r="AT89" s="83">
        <f t="shared" si="189"/>
        <v>0</v>
      </c>
      <c r="AU89" s="83">
        <v>0</v>
      </c>
      <c r="AV89" s="83">
        <f t="shared" si="190"/>
        <v>0</v>
      </c>
      <c r="AW89" s="83">
        <f t="shared" si="191"/>
        <v>0</v>
      </c>
      <c r="AX89" s="83">
        <f t="shared" si="168"/>
        <v>0</v>
      </c>
    </row>
    <row r="90" spans="2:50" x14ac:dyDescent="0.35">
      <c r="B90" s="7" t="s">
        <v>140</v>
      </c>
      <c r="C90" s="78">
        <v>0</v>
      </c>
      <c r="D90" s="78">
        <v>0</v>
      </c>
      <c r="E90" s="78">
        <v>0</v>
      </c>
      <c r="F90" s="78">
        <f t="shared" si="169"/>
        <v>0</v>
      </c>
      <c r="G90" s="78">
        <v>0</v>
      </c>
      <c r="H90" s="78">
        <f t="shared" si="170"/>
        <v>0</v>
      </c>
      <c r="I90" s="78">
        <f t="shared" si="171"/>
        <v>0</v>
      </c>
      <c r="J90" s="78">
        <f t="shared" si="158"/>
        <v>0</v>
      </c>
      <c r="K90" s="79">
        <f t="shared" si="172"/>
        <v>0</v>
      </c>
      <c r="L90" s="79">
        <f t="shared" si="159"/>
        <v>0</v>
      </c>
      <c r="M90" s="79">
        <v>0</v>
      </c>
      <c r="N90" s="79">
        <f t="shared" si="173"/>
        <v>0</v>
      </c>
      <c r="O90" s="79">
        <v>0</v>
      </c>
      <c r="P90" s="79">
        <f t="shared" si="174"/>
        <v>0</v>
      </c>
      <c r="Q90" s="79">
        <f t="shared" si="175"/>
        <v>0</v>
      </c>
      <c r="R90" s="79">
        <f t="shared" si="160"/>
        <v>0</v>
      </c>
      <c r="S90" s="80">
        <f t="shared" si="176"/>
        <v>0</v>
      </c>
      <c r="T90" s="80">
        <f t="shared" si="161"/>
        <v>0</v>
      </c>
      <c r="U90" s="80">
        <v>0</v>
      </c>
      <c r="V90" s="80">
        <f t="shared" si="177"/>
        <v>0</v>
      </c>
      <c r="W90" s="80">
        <v>0</v>
      </c>
      <c r="X90" s="80">
        <f t="shared" si="178"/>
        <v>0</v>
      </c>
      <c r="Y90" s="80">
        <f t="shared" si="179"/>
        <v>0</v>
      </c>
      <c r="Z90" s="80">
        <f t="shared" si="162"/>
        <v>0</v>
      </c>
      <c r="AA90" s="81">
        <f t="shared" si="180"/>
        <v>0</v>
      </c>
      <c r="AB90" s="81">
        <f t="shared" si="163"/>
        <v>0</v>
      </c>
      <c r="AC90" s="81">
        <v>0</v>
      </c>
      <c r="AD90" s="81">
        <f t="shared" si="181"/>
        <v>0</v>
      </c>
      <c r="AE90" s="81">
        <v>0</v>
      </c>
      <c r="AF90" s="81">
        <f t="shared" si="182"/>
        <v>0</v>
      </c>
      <c r="AG90" s="81">
        <f t="shared" si="183"/>
        <v>0</v>
      </c>
      <c r="AH90" s="81">
        <f t="shared" si="164"/>
        <v>0</v>
      </c>
      <c r="AI90" s="82">
        <f t="shared" si="184"/>
        <v>0</v>
      </c>
      <c r="AJ90" s="82">
        <f t="shared" si="165"/>
        <v>0</v>
      </c>
      <c r="AK90" s="82">
        <v>0</v>
      </c>
      <c r="AL90" s="82">
        <f t="shared" si="185"/>
        <v>0</v>
      </c>
      <c r="AM90" s="82">
        <v>0</v>
      </c>
      <c r="AN90" s="82">
        <f t="shared" si="186"/>
        <v>0</v>
      </c>
      <c r="AO90" s="82">
        <f t="shared" si="187"/>
        <v>0</v>
      </c>
      <c r="AP90" s="82">
        <f t="shared" si="166"/>
        <v>0</v>
      </c>
      <c r="AQ90" s="83">
        <f t="shared" si="188"/>
        <v>0</v>
      </c>
      <c r="AR90" s="83">
        <f t="shared" si="167"/>
        <v>0</v>
      </c>
      <c r="AS90" s="83">
        <v>0</v>
      </c>
      <c r="AT90" s="83">
        <f t="shared" si="189"/>
        <v>0</v>
      </c>
      <c r="AU90" s="83">
        <v>0</v>
      </c>
      <c r="AV90" s="83">
        <f t="shared" si="190"/>
        <v>0</v>
      </c>
      <c r="AW90" s="83">
        <f t="shared" si="191"/>
        <v>0</v>
      </c>
      <c r="AX90" s="83">
        <f t="shared" si="168"/>
        <v>0</v>
      </c>
    </row>
    <row r="91" spans="2:50" x14ac:dyDescent="0.35">
      <c r="B91" s="7" t="s">
        <v>141</v>
      </c>
      <c r="C91" s="78">
        <v>0.66245870000000007</v>
      </c>
      <c r="D91" s="78">
        <v>0.66245870000000007</v>
      </c>
      <c r="E91" s="78">
        <v>0</v>
      </c>
      <c r="F91" s="78">
        <f t="shared" si="169"/>
        <v>0</v>
      </c>
      <c r="G91" s="78">
        <v>0.10332860000000001</v>
      </c>
      <c r="H91" s="78">
        <f t="shared" si="170"/>
        <v>0.10332860000000001</v>
      </c>
      <c r="I91" s="78">
        <f t="shared" si="171"/>
        <v>0.55913010000000007</v>
      </c>
      <c r="J91" s="78">
        <f t="shared" si="158"/>
        <v>0.55913010000000007</v>
      </c>
      <c r="K91" s="79">
        <f t="shared" si="172"/>
        <v>0.55913010000000007</v>
      </c>
      <c r="L91" s="79">
        <f t="shared" si="159"/>
        <v>0.55913010000000007</v>
      </c>
      <c r="M91" s="79">
        <v>0</v>
      </c>
      <c r="N91" s="79">
        <f t="shared" si="173"/>
        <v>0</v>
      </c>
      <c r="O91" s="79">
        <v>0</v>
      </c>
      <c r="P91" s="79">
        <f t="shared" si="174"/>
        <v>0</v>
      </c>
      <c r="Q91" s="79">
        <f t="shared" si="175"/>
        <v>0.55913010000000007</v>
      </c>
      <c r="R91" s="79">
        <f t="shared" si="160"/>
        <v>0.55913010000000007</v>
      </c>
      <c r="S91" s="80">
        <f t="shared" si="176"/>
        <v>0.55913010000000007</v>
      </c>
      <c r="T91" s="80">
        <f t="shared" si="161"/>
        <v>0.55913010000000007</v>
      </c>
      <c r="U91" s="80">
        <v>0</v>
      </c>
      <c r="V91" s="80">
        <f t="shared" si="177"/>
        <v>0</v>
      </c>
      <c r="W91" s="80">
        <v>0</v>
      </c>
      <c r="X91" s="80">
        <f t="shared" si="178"/>
        <v>0</v>
      </c>
      <c r="Y91" s="80">
        <f t="shared" si="179"/>
        <v>0.55913010000000007</v>
      </c>
      <c r="Z91" s="80">
        <f t="shared" si="162"/>
        <v>0.55913010000000007</v>
      </c>
      <c r="AA91" s="81">
        <f t="shared" si="180"/>
        <v>0.55913010000000007</v>
      </c>
      <c r="AB91" s="81">
        <f t="shared" si="163"/>
        <v>0.55913010000000007</v>
      </c>
      <c r="AC91" s="81">
        <v>0</v>
      </c>
      <c r="AD91" s="81">
        <f t="shared" si="181"/>
        <v>0</v>
      </c>
      <c r="AE91" s="81">
        <v>0</v>
      </c>
      <c r="AF91" s="81">
        <f t="shared" si="182"/>
        <v>0</v>
      </c>
      <c r="AG91" s="81">
        <f t="shared" si="183"/>
        <v>0.55913010000000007</v>
      </c>
      <c r="AH91" s="81">
        <f t="shared" si="164"/>
        <v>0.55913010000000007</v>
      </c>
      <c r="AI91" s="82">
        <f t="shared" si="184"/>
        <v>0.55913010000000007</v>
      </c>
      <c r="AJ91" s="82">
        <f t="shared" si="165"/>
        <v>0.55913010000000007</v>
      </c>
      <c r="AK91" s="82">
        <v>0</v>
      </c>
      <c r="AL91" s="82">
        <f t="shared" si="185"/>
        <v>0</v>
      </c>
      <c r="AM91" s="82">
        <v>0</v>
      </c>
      <c r="AN91" s="82">
        <f t="shared" si="186"/>
        <v>0</v>
      </c>
      <c r="AO91" s="82">
        <f t="shared" si="187"/>
        <v>0.55913010000000007</v>
      </c>
      <c r="AP91" s="82">
        <f t="shared" si="166"/>
        <v>0.55913010000000007</v>
      </c>
      <c r="AQ91" s="83">
        <f t="shared" si="188"/>
        <v>0.55913010000000007</v>
      </c>
      <c r="AR91" s="83">
        <f t="shared" si="167"/>
        <v>0.55913010000000007</v>
      </c>
      <c r="AS91" s="83">
        <v>0</v>
      </c>
      <c r="AT91" s="83">
        <f t="shared" si="189"/>
        <v>0</v>
      </c>
      <c r="AU91" s="83">
        <v>0</v>
      </c>
      <c r="AV91" s="83">
        <f t="shared" si="190"/>
        <v>0</v>
      </c>
      <c r="AW91" s="83">
        <f t="shared" si="191"/>
        <v>0.55913010000000007</v>
      </c>
      <c r="AX91" s="83">
        <f t="shared" si="168"/>
        <v>0.55913010000000007</v>
      </c>
    </row>
    <row r="92" spans="2:50" x14ac:dyDescent="0.35">
      <c r="B92" s="7" t="s">
        <v>142</v>
      </c>
      <c r="C92" s="78">
        <v>1.858143355965383</v>
      </c>
      <c r="D92" s="78">
        <v>1.858143355965383</v>
      </c>
      <c r="E92" s="78">
        <v>0.1371907</v>
      </c>
      <c r="F92" s="78">
        <f t="shared" si="169"/>
        <v>0.13718508747721819</v>
      </c>
      <c r="G92" s="78">
        <v>0</v>
      </c>
      <c r="H92" s="78">
        <f t="shared" si="170"/>
        <v>0</v>
      </c>
      <c r="I92" s="78">
        <f t="shared" si="171"/>
        <v>1.9953340559653832</v>
      </c>
      <c r="J92" s="78">
        <f t="shared" si="158"/>
        <v>1.9953284434426013</v>
      </c>
      <c r="K92" s="79">
        <f t="shared" si="172"/>
        <v>1.9953340559653832</v>
      </c>
      <c r="L92" s="79">
        <f t="shared" si="159"/>
        <v>1.9953284434426013</v>
      </c>
      <c r="M92" s="79">
        <v>0</v>
      </c>
      <c r="N92" s="79">
        <f t="shared" si="173"/>
        <v>0</v>
      </c>
      <c r="O92" s="79">
        <v>0</v>
      </c>
      <c r="P92" s="79">
        <f t="shared" si="174"/>
        <v>0</v>
      </c>
      <c r="Q92" s="79">
        <f t="shared" si="175"/>
        <v>1.9953340559653832</v>
      </c>
      <c r="R92" s="79">
        <f t="shared" si="160"/>
        <v>1.9953284434426013</v>
      </c>
      <c r="S92" s="80">
        <f t="shared" si="176"/>
        <v>1.9953340559653832</v>
      </c>
      <c r="T92" s="80">
        <f t="shared" si="161"/>
        <v>1.9953284434426013</v>
      </c>
      <c r="U92" s="80">
        <v>1.7765</v>
      </c>
      <c r="V92" s="80">
        <f t="shared" si="177"/>
        <v>1.776925068143741</v>
      </c>
      <c r="W92" s="80">
        <v>0</v>
      </c>
      <c r="X92" s="80">
        <f t="shared" si="178"/>
        <v>0</v>
      </c>
      <c r="Y92" s="80">
        <f t="shared" si="179"/>
        <v>3.7718340559653831</v>
      </c>
      <c r="Z92" s="80">
        <f t="shared" si="162"/>
        <v>3.7722535115863423</v>
      </c>
      <c r="AA92" s="81">
        <f t="shared" si="180"/>
        <v>3.7718340559653831</v>
      </c>
      <c r="AB92" s="81">
        <f t="shared" si="163"/>
        <v>3.7722535115863423</v>
      </c>
      <c r="AC92" s="81">
        <v>0</v>
      </c>
      <c r="AD92" s="81">
        <f t="shared" si="181"/>
        <v>0</v>
      </c>
      <c r="AE92" s="81">
        <v>0</v>
      </c>
      <c r="AF92" s="81">
        <f t="shared" si="182"/>
        <v>0</v>
      </c>
      <c r="AG92" s="81">
        <f t="shared" si="183"/>
        <v>3.7718340559653831</v>
      </c>
      <c r="AH92" s="81">
        <f t="shared" si="164"/>
        <v>3.7722535115863423</v>
      </c>
      <c r="AI92" s="82">
        <f t="shared" si="184"/>
        <v>3.7718340559653831</v>
      </c>
      <c r="AJ92" s="82">
        <f t="shared" si="165"/>
        <v>3.7722535115863423</v>
      </c>
      <c r="AK92" s="82">
        <v>0</v>
      </c>
      <c r="AL92" s="82">
        <f t="shared" si="185"/>
        <v>0</v>
      </c>
      <c r="AM92" s="82">
        <v>0</v>
      </c>
      <c r="AN92" s="82">
        <f t="shared" si="186"/>
        <v>0</v>
      </c>
      <c r="AO92" s="82">
        <f t="shared" si="187"/>
        <v>3.7718340559653831</v>
      </c>
      <c r="AP92" s="82">
        <f t="shared" si="166"/>
        <v>3.7722535115863423</v>
      </c>
      <c r="AQ92" s="83">
        <f t="shared" si="188"/>
        <v>3.7718340559653831</v>
      </c>
      <c r="AR92" s="83">
        <f t="shared" si="167"/>
        <v>3.7722535115863423</v>
      </c>
      <c r="AS92" s="83">
        <v>0</v>
      </c>
      <c r="AT92" s="83">
        <f t="shared" si="189"/>
        <v>0</v>
      </c>
      <c r="AU92" s="83">
        <v>0</v>
      </c>
      <c r="AV92" s="83">
        <f t="shared" si="190"/>
        <v>0</v>
      </c>
      <c r="AW92" s="83">
        <f t="shared" si="191"/>
        <v>3.7718340559653831</v>
      </c>
      <c r="AX92" s="83">
        <f t="shared" si="168"/>
        <v>3.7722535115863423</v>
      </c>
    </row>
    <row r="93" spans="2:50" x14ac:dyDescent="0.35">
      <c r="B93" s="7" t="s">
        <v>143</v>
      </c>
      <c r="C93" s="78">
        <v>1.0355823</v>
      </c>
      <c r="D93" s="78">
        <v>1.0355823</v>
      </c>
      <c r="E93" s="78">
        <v>4.7285099999999997E-2</v>
      </c>
      <c r="F93" s="78">
        <f t="shared" si="169"/>
        <v>4.7283165548896604E-2</v>
      </c>
      <c r="G93" s="78">
        <v>0.17338890000000001</v>
      </c>
      <c r="H93" s="78">
        <f t="shared" si="170"/>
        <v>0.17338890000000001</v>
      </c>
      <c r="I93" s="78">
        <f t="shared" si="171"/>
        <v>0.90947850000000008</v>
      </c>
      <c r="J93" s="78">
        <f t="shared" si="158"/>
        <v>0.90947656554889655</v>
      </c>
      <c r="K93" s="79">
        <f t="shared" si="172"/>
        <v>0.90947850000000008</v>
      </c>
      <c r="L93" s="79">
        <f t="shared" si="159"/>
        <v>0.90947656554889655</v>
      </c>
      <c r="M93" s="79">
        <v>0.1003028</v>
      </c>
      <c r="N93" s="79">
        <f t="shared" si="173"/>
        <v>7.1909428114219992E-2</v>
      </c>
      <c r="O93" s="79">
        <v>0</v>
      </c>
      <c r="P93" s="79">
        <f t="shared" si="174"/>
        <v>0</v>
      </c>
      <c r="Q93" s="79">
        <f t="shared" si="175"/>
        <v>1.0097813</v>
      </c>
      <c r="R93" s="79">
        <f t="shared" si="160"/>
        <v>0.98138599366311652</v>
      </c>
      <c r="S93" s="80">
        <f t="shared" si="176"/>
        <v>1.0097813</v>
      </c>
      <c r="T93" s="80">
        <f t="shared" si="161"/>
        <v>0.98138599366311652</v>
      </c>
      <c r="U93" s="80">
        <v>3.0753200000000001E-2</v>
      </c>
      <c r="V93" s="80">
        <f t="shared" si="177"/>
        <v>3.0760558404524685E-2</v>
      </c>
      <c r="W93" s="80">
        <v>0</v>
      </c>
      <c r="X93" s="80">
        <f t="shared" si="178"/>
        <v>0</v>
      </c>
      <c r="Y93" s="80">
        <f t="shared" si="179"/>
        <v>1.0405344999999999</v>
      </c>
      <c r="Z93" s="80">
        <f t="shared" si="162"/>
        <v>1.0121465520676411</v>
      </c>
      <c r="AA93" s="81">
        <f t="shared" si="180"/>
        <v>1.0405344999999999</v>
      </c>
      <c r="AB93" s="81">
        <f t="shared" si="163"/>
        <v>1.0121465520676411</v>
      </c>
      <c r="AC93" s="81">
        <v>0</v>
      </c>
      <c r="AD93" s="81">
        <f t="shared" si="181"/>
        <v>0</v>
      </c>
      <c r="AE93" s="81">
        <v>0</v>
      </c>
      <c r="AF93" s="81">
        <f t="shared" si="182"/>
        <v>0</v>
      </c>
      <c r="AG93" s="81">
        <f t="shared" si="183"/>
        <v>1.0405344999999999</v>
      </c>
      <c r="AH93" s="81">
        <f t="shared" si="164"/>
        <v>1.0121465520676411</v>
      </c>
      <c r="AI93" s="82">
        <f t="shared" si="184"/>
        <v>1.0405344999999999</v>
      </c>
      <c r="AJ93" s="82">
        <f t="shared" si="165"/>
        <v>1.0121465520676411</v>
      </c>
      <c r="AK93" s="82">
        <v>0</v>
      </c>
      <c r="AL93" s="82">
        <f t="shared" si="185"/>
        <v>0</v>
      </c>
      <c r="AM93" s="82">
        <v>0</v>
      </c>
      <c r="AN93" s="82">
        <f t="shared" si="186"/>
        <v>0</v>
      </c>
      <c r="AO93" s="82">
        <f t="shared" si="187"/>
        <v>1.0405344999999999</v>
      </c>
      <c r="AP93" s="82">
        <f t="shared" si="166"/>
        <v>1.0121465520676411</v>
      </c>
      <c r="AQ93" s="83">
        <f t="shared" si="188"/>
        <v>1.0405344999999999</v>
      </c>
      <c r="AR93" s="83">
        <f t="shared" si="167"/>
        <v>1.0121465520676411</v>
      </c>
      <c r="AS93" s="83">
        <v>0</v>
      </c>
      <c r="AT93" s="83">
        <f t="shared" si="189"/>
        <v>0</v>
      </c>
      <c r="AU93" s="83">
        <v>0</v>
      </c>
      <c r="AV93" s="83">
        <f t="shared" si="190"/>
        <v>0</v>
      </c>
      <c r="AW93" s="83">
        <f t="shared" si="191"/>
        <v>1.0405344999999999</v>
      </c>
      <c r="AX93" s="83">
        <f t="shared" si="168"/>
        <v>1.0121465520676411</v>
      </c>
    </row>
    <row r="94" spans="2:50" x14ac:dyDescent="0.35">
      <c r="B94" s="7" t="s">
        <v>144</v>
      </c>
      <c r="C94" s="78">
        <v>4.5805212946794551</v>
      </c>
      <c r="D94" s="78">
        <v>4.5805212946794551</v>
      </c>
      <c r="E94" s="78">
        <v>0.38100109999999998</v>
      </c>
      <c r="F94" s="78">
        <f t="shared" si="169"/>
        <v>0.38098551310268375</v>
      </c>
      <c r="G94" s="78">
        <v>9.6445199999999995E-2</v>
      </c>
      <c r="H94" s="78">
        <f t="shared" si="170"/>
        <v>9.6445199999999995E-2</v>
      </c>
      <c r="I94" s="78">
        <f t="shared" si="171"/>
        <v>4.8650771946794551</v>
      </c>
      <c r="J94" s="78">
        <f t="shared" si="158"/>
        <v>4.8650616077821391</v>
      </c>
      <c r="K94" s="79">
        <f t="shared" si="172"/>
        <v>4.8650771946794551</v>
      </c>
      <c r="L94" s="79">
        <f t="shared" si="159"/>
        <v>4.8650616077821391</v>
      </c>
      <c r="M94" s="79">
        <v>0.1636147</v>
      </c>
      <c r="N94" s="79">
        <f t="shared" si="173"/>
        <v>0.11729921306364</v>
      </c>
      <c r="O94" s="79">
        <v>0</v>
      </c>
      <c r="P94" s="79">
        <f t="shared" si="174"/>
        <v>0</v>
      </c>
      <c r="Q94" s="79">
        <f t="shared" si="175"/>
        <v>5.0286918946794552</v>
      </c>
      <c r="R94" s="79">
        <f t="shared" si="160"/>
        <v>4.9823608208457788</v>
      </c>
      <c r="S94" s="80">
        <f t="shared" si="176"/>
        <v>5.0286918946794552</v>
      </c>
      <c r="T94" s="80">
        <f t="shared" si="161"/>
        <v>4.9823608208457788</v>
      </c>
      <c r="U94" s="80">
        <v>0.13099050000000001</v>
      </c>
      <c r="V94" s="80">
        <f t="shared" si="177"/>
        <v>0.1310218424647806</v>
      </c>
      <c r="W94" s="80">
        <v>0</v>
      </c>
      <c r="X94" s="80">
        <f t="shared" si="178"/>
        <v>0</v>
      </c>
      <c r="Y94" s="80">
        <f t="shared" si="179"/>
        <v>5.1596823946794554</v>
      </c>
      <c r="Z94" s="80">
        <f t="shared" si="162"/>
        <v>5.113382663310559</v>
      </c>
      <c r="AA94" s="81">
        <f t="shared" si="180"/>
        <v>5.1596823946794554</v>
      </c>
      <c r="AB94" s="81">
        <f t="shared" si="163"/>
        <v>5.113382663310559</v>
      </c>
      <c r="AC94" s="81">
        <v>0</v>
      </c>
      <c r="AD94" s="81">
        <f t="shared" si="181"/>
        <v>0</v>
      </c>
      <c r="AE94" s="81">
        <v>0</v>
      </c>
      <c r="AF94" s="81">
        <f t="shared" si="182"/>
        <v>0</v>
      </c>
      <c r="AG94" s="81">
        <f t="shared" si="183"/>
        <v>5.1596823946794554</v>
      </c>
      <c r="AH94" s="81">
        <f t="shared" si="164"/>
        <v>5.113382663310559</v>
      </c>
      <c r="AI94" s="82">
        <f t="shared" si="184"/>
        <v>5.1596823946794554</v>
      </c>
      <c r="AJ94" s="82">
        <f t="shared" si="165"/>
        <v>5.113382663310559</v>
      </c>
      <c r="AK94" s="82">
        <v>0</v>
      </c>
      <c r="AL94" s="82">
        <f t="shared" si="185"/>
        <v>0</v>
      </c>
      <c r="AM94" s="82">
        <v>0</v>
      </c>
      <c r="AN94" s="82">
        <f t="shared" si="186"/>
        <v>0</v>
      </c>
      <c r="AO94" s="82">
        <f t="shared" si="187"/>
        <v>5.1596823946794554</v>
      </c>
      <c r="AP94" s="82">
        <f t="shared" si="166"/>
        <v>5.113382663310559</v>
      </c>
      <c r="AQ94" s="83">
        <f t="shared" si="188"/>
        <v>5.1596823946794554</v>
      </c>
      <c r="AR94" s="83">
        <f t="shared" si="167"/>
        <v>5.113382663310559</v>
      </c>
      <c r="AS94" s="83">
        <v>0</v>
      </c>
      <c r="AT94" s="83">
        <f t="shared" si="189"/>
        <v>0</v>
      </c>
      <c r="AU94" s="83">
        <v>0</v>
      </c>
      <c r="AV94" s="83">
        <f t="shared" si="190"/>
        <v>0</v>
      </c>
      <c r="AW94" s="83">
        <f t="shared" si="191"/>
        <v>5.1596823946794554</v>
      </c>
      <c r="AX94" s="83">
        <f t="shared" si="168"/>
        <v>5.113382663310559</v>
      </c>
    </row>
    <row r="95" spans="2:50" x14ac:dyDescent="0.35">
      <c r="B95" s="7" t="s">
        <v>145</v>
      </c>
      <c r="C95" s="78">
        <v>0</v>
      </c>
      <c r="D95" s="78">
        <v>0</v>
      </c>
      <c r="E95" s="78">
        <v>0</v>
      </c>
      <c r="F95" s="78">
        <f t="shared" si="169"/>
        <v>0</v>
      </c>
      <c r="G95" s="78">
        <v>0</v>
      </c>
      <c r="H95" s="78">
        <f t="shared" si="170"/>
        <v>0</v>
      </c>
      <c r="I95" s="78">
        <f t="shared" si="171"/>
        <v>0</v>
      </c>
      <c r="J95" s="78">
        <f t="shared" si="158"/>
        <v>0</v>
      </c>
      <c r="K95" s="79">
        <f t="shared" si="172"/>
        <v>0</v>
      </c>
      <c r="L95" s="79">
        <f t="shared" si="159"/>
        <v>0</v>
      </c>
      <c r="M95" s="79">
        <v>0</v>
      </c>
      <c r="N95" s="79">
        <f t="shared" si="173"/>
        <v>0</v>
      </c>
      <c r="O95" s="79">
        <v>0</v>
      </c>
      <c r="P95" s="79">
        <f t="shared" si="174"/>
        <v>0</v>
      </c>
      <c r="Q95" s="79">
        <f t="shared" si="175"/>
        <v>0</v>
      </c>
      <c r="R95" s="79">
        <f t="shared" si="160"/>
        <v>0</v>
      </c>
      <c r="S95" s="80">
        <f t="shared" si="176"/>
        <v>0</v>
      </c>
      <c r="T95" s="80">
        <f t="shared" si="161"/>
        <v>0</v>
      </c>
      <c r="U95" s="80">
        <v>0</v>
      </c>
      <c r="V95" s="80">
        <f t="shared" si="177"/>
        <v>0</v>
      </c>
      <c r="W95" s="80">
        <v>0</v>
      </c>
      <c r="X95" s="80">
        <f t="shared" si="178"/>
        <v>0</v>
      </c>
      <c r="Y95" s="80">
        <f t="shared" si="179"/>
        <v>0</v>
      </c>
      <c r="Z95" s="80">
        <f t="shared" si="162"/>
        <v>0</v>
      </c>
      <c r="AA95" s="81">
        <f t="shared" si="180"/>
        <v>0</v>
      </c>
      <c r="AB95" s="81">
        <f t="shared" si="163"/>
        <v>0</v>
      </c>
      <c r="AC95" s="81">
        <v>0</v>
      </c>
      <c r="AD95" s="81">
        <f t="shared" si="181"/>
        <v>0</v>
      </c>
      <c r="AE95" s="81">
        <v>0</v>
      </c>
      <c r="AF95" s="81">
        <f t="shared" si="182"/>
        <v>0</v>
      </c>
      <c r="AG95" s="81">
        <f t="shared" si="183"/>
        <v>0</v>
      </c>
      <c r="AH95" s="81">
        <f t="shared" si="164"/>
        <v>0</v>
      </c>
      <c r="AI95" s="82">
        <f t="shared" si="184"/>
        <v>0</v>
      </c>
      <c r="AJ95" s="82">
        <f t="shared" si="165"/>
        <v>0</v>
      </c>
      <c r="AK95" s="82">
        <v>0</v>
      </c>
      <c r="AL95" s="82">
        <f t="shared" si="185"/>
        <v>0</v>
      </c>
      <c r="AM95" s="82">
        <v>0</v>
      </c>
      <c r="AN95" s="82">
        <f t="shared" si="186"/>
        <v>0</v>
      </c>
      <c r="AO95" s="82">
        <f t="shared" si="187"/>
        <v>0</v>
      </c>
      <c r="AP95" s="82">
        <f t="shared" si="166"/>
        <v>0</v>
      </c>
      <c r="AQ95" s="83">
        <f t="shared" si="188"/>
        <v>0</v>
      </c>
      <c r="AR95" s="83">
        <f t="shared" si="167"/>
        <v>0</v>
      </c>
      <c r="AS95" s="83">
        <v>0</v>
      </c>
      <c r="AT95" s="83">
        <f t="shared" si="189"/>
        <v>0</v>
      </c>
      <c r="AU95" s="83">
        <v>0</v>
      </c>
      <c r="AV95" s="83">
        <f t="shared" si="190"/>
        <v>0</v>
      </c>
      <c r="AW95" s="83">
        <f t="shared" si="191"/>
        <v>0</v>
      </c>
      <c r="AX95" s="83">
        <f t="shared" si="168"/>
        <v>0</v>
      </c>
    </row>
    <row r="96" spans="2:50" x14ac:dyDescent="0.35">
      <c r="B96" s="7" t="s">
        <v>146</v>
      </c>
      <c r="C96" s="78">
        <v>0</v>
      </c>
      <c r="D96" s="78">
        <v>0</v>
      </c>
      <c r="E96" s="78">
        <v>0</v>
      </c>
      <c r="F96" s="78">
        <f t="shared" si="169"/>
        <v>0</v>
      </c>
      <c r="G96" s="78">
        <v>0</v>
      </c>
      <c r="H96" s="78">
        <f t="shared" si="170"/>
        <v>0</v>
      </c>
      <c r="I96" s="78">
        <f t="shared" si="171"/>
        <v>0</v>
      </c>
      <c r="J96" s="78">
        <f t="shared" si="158"/>
        <v>0</v>
      </c>
      <c r="K96" s="79">
        <f t="shared" si="172"/>
        <v>0</v>
      </c>
      <c r="L96" s="79">
        <f t="shared" si="159"/>
        <v>0</v>
      </c>
      <c r="M96" s="79">
        <v>0</v>
      </c>
      <c r="N96" s="79">
        <f t="shared" si="173"/>
        <v>0</v>
      </c>
      <c r="O96" s="79">
        <v>0</v>
      </c>
      <c r="P96" s="79">
        <f t="shared" si="174"/>
        <v>0</v>
      </c>
      <c r="Q96" s="79">
        <f t="shared" si="175"/>
        <v>0</v>
      </c>
      <c r="R96" s="79">
        <f t="shared" si="160"/>
        <v>0</v>
      </c>
      <c r="S96" s="80">
        <f t="shared" si="176"/>
        <v>0</v>
      </c>
      <c r="T96" s="80">
        <f t="shared" si="161"/>
        <v>0</v>
      </c>
      <c r="U96" s="80">
        <v>0</v>
      </c>
      <c r="V96" s="80">
        <f t="shared" si="177"/>
        <v>0</v>
      </c>
      <c r="W96" s="80">
        <v>0</v>
      </c>
      <c r="X96" s="80">
        <f t="shared" si="178"/>
        <v>0</v>
      </c>
      <c r="Y96" s="80">
        <f t="shared" si="179"/>
        <v>0</v>
      </c>
      <c r="Z96" s="80">
        <f t="shared" si="162"/>
        <v>0</v>
      </c>
      <c r="AA96" s="81">
        <f t="shared" si="180"/>
        <v>0</v>
      </c>
      <c r="AB96" s="81">
        <f t="shared" si="163"/>
        <v>0</v>
      </c>
      <c r="AC96" s="81">
        <v>0</v>
      </c>
      <c r="AD96" s="81">
        <f t="shared" si="181"/>
        <v>0</v>
      </c>
      <c r="AE96" s="81">
        <v>0</v>
      </c>
      <c r="AF96" s="81">
        <f t="shared" si="182"/>
        <v>0</v>
      </c>
      <c r="AG96" s="81">
        <f t="shared" si="183"/>
        <v>0</v>
      </c>
      <c r="AH96" s="81">
        <f t="shared" si="164"/>
        <v>0</v>
      </c>
      <c r="AI96" s="82">
        <f t="shared" si="184"/>
        <v>0</v>
      </c>
      <c r="AJ96" s="82">
        <f t="shared" si="165"/>
        <v>0</v>
      </c>
      <c r="AK96" s="82">
        <v>0</v>
      </c>
      <c r="AL96" s="82">
        <f t="shared" si="185"/>
        <v>0</v>
      </c>
      <c r="AM96" s="82">
        <v>0</v>
      </c>
      <c r="AN96" s="82">
        <f t="shared" si="186"/>
        <v>0</v>
      </c>
      <c r="AO96" s="82">
        <f t="shared" si="187"/>
        <v>0</v>
      </c>
      <c r="AP96" s="82">
        <f t="shared" si="166"/>
        <v>0</v>
      </c>
      <c r="AQ96" s="83">
        <f t="shared" si="188"/>
        <v>0</v>
      </c>
      <c r="AR96" s="83">
        <f t="shared" si="167"/>
        <v>0</v>
      </c>
      <c r="AS96" s="83">
        <v>0</v>
      </c>
      <c r="AT96" s="83">
        <f t="shared" si="189"/>
        <v>0</v>
      </c>
      <c r="AU96" s="83">
        <v>0</v>
      </c>
      <c r="AV96" s="83">
        <f t="shared" si="190"/>
        <v>0</v>
      </c>
      <c r="AW96" s="83">
        <f t="shared" si="191"/>
        <v>0</v>
      </c>
      <c r="AX96" s="83">
        <f t="shared" si="168"/>
        <v>0</v>
      </c>
    </row>
    <row r="97" spans="2:50" x14ac:dyDescent="0.35">
      <c r="B97" s="7" t="s">
        <v>147</v>
      </c>
      <c r="C97" s="78">
        <v>0</v>
      </c>
      <c r="D97" s="78">
        <v>0</v>
      </c>
      <c r="E97" s="78">
        <v>0</v>
      </c>
      <c r="F97" s="78">
        <f t="shared" si="169"/>
        <v>0</v>
      </c>
      <c r="G97" s="78">
        <v>0</v>
      </c>
      <c r="H97" s="78">
        <f t="shared" si="170"/>
        <v>0</v>
      </c>
      <c r="I97" s="78">
        <f t="shared" si="171"/>
        <v>0</v>
      </c>
      <c r="J97" s="78">
        <f t="shared" si="158"/>
        <v>0</v>
      </c>
      <c r="K97" s="79">
        <f t="shared" si="172"/>
        <v>0</v>
      </c>
      <c r="L97" s="79">
        <f t="shared" si="159"/>
        <v>0</v>
      </c>
      <c r="M97" s="79">
        <v>0</v>
      </c>
      <c r="N97" s="79">
        <f t="shared" si="173"/>
        <v>0</v>
      </c>
      <c r="O97" s="79">
        <v>0</v>
      </c>
      <c r="P97" s="79">
        <f t="shared" si="174"/>
        <v>0</v>
      </c>
      <c r="Q97" s="79">
        <f t="shared" si="175"/>
        <v>0</v>
      </c>
      <c r="R97" s="79">
        <f t="shared" si="160"/>
        <v>0</v>
      </c>
      <c r="S97" s="80">
        <f t="shared" si="176"/>
        <v>0</v>
      </c>
      <c r="T97" s="80">
        <f t="shared" si="161"/>
        <v>0</v>
      </c>
      <c r="U97" s="80">
        <v>0</v>
      </c>
      <c r="V97" s="80">
        <f t="shared" si="177"/>
        <v>0</v>
      </c>
      <c r="W97" s="80">
        <v>0</v>
      </c>
      <c r="X97" s="80">
        <f t="shared" si="178"/>
        <v>0</v>
      </c>
      <c r="Y97" s="80">
        <f t="shared" si="179"/>
        <v>0</v>
      </c>
      <c r="Z97" s="80">
        <f t="shared" si="162"/>
        <v>0</v>
      </c>
      <c r="AA97" s="81">
        <f t="shared" si="180"/>
        <v>0</v>
      </c>
      <c r="AB97" s="81">
        <f t="shared" si="163"/>
        <v>0</v>
      </c>
      <c r="AC97" s="81">
        <v>0</v>
      </c>
      <c r="AD97" s="81">
        <f t="shared" si="181"/>
        <v>0</v>
      </c>
      <c r="AE97" s="81">
        <v>0</v>
      </c>
      <c r="AF97" s="81">
        <f t="shared" si="182"/>
        <v>0</v>
      </c>
      <c r="AG97" s="81">
        <f t="shared" si="183"/>
        <v>0</v>
      </c>
      <c r="AH97" s="81">
        <f t="shared" si="164"/>
        <v>0</v>
      </c>
      <c r="AI97" s="82">
        <f t="shared" si="184"/>
        <v>0</v>
      </c>
      <c r="AJ97" s="82">
        <f t="shared" si="165"/>
        <v>0</v>
      </c>
      <c r="AK97" s="82">
        <v>0</v>
      </c>
      <c r="AL97" s="82">
        <f t="shared" si="185"/>
        <v>0</v>
      </c>
      <c r="AM97" s="82">
        <v>0</v>
      </c>
      <c r="AN97" s="82">
        <f t="shared" si="186"/>
        <v>0</v>
      </c>
      <c r="AO97" s="82">
        <f t="shared" si="187"/>
        <v>0</v>
      </c>
      <c r="AP97" s="82">
        <f t="shared" si="166"/>
        <v>0</v>
      </c>
      <c r="AQ97" s="83">
        <f t="shared" si="188"/>
        <v>0</v>
      </c>
      <c r="AR97" s="83">
        <f t="shared" si="167"/>
        <v>0</v>
      </c>
      <c r="AS97" s="83">
        <v>0</v>
      </c>
      <c r="AT97" s="83">
        <f t="shared" si="189"/>
        <v>0</v>
      </c>
      <c r="AU97" s="83">
        <v>0</v>
      </c>
      <c r="AV97" s="83">
        <f t="shared" si="190"/>
        <v>0</v>
      </c>
      <c r="AW97" s="83">
        <f t="shared" si="191"/>
        <v>0</v>
      </c>
      <c r="AX97" s="83">
        <f t="shared" si="168"/>
        <v>0</v>
      </c>
    </row>
    <row r="98" spans="2:50" x14ac:dyDescent="0.35">
      <c r="B98" s="7" t="s">
        <v>148</v>
      </c>
      <c r="C98" s="78">
        <v>0</v>
      </c>
      <c r="D98" s="78">
        <v>0</v>
      </c>
      <c r="E98" s="78">
        <v>0</v>
      </c>
      <c r="F98" s="78">
        <f t="shared" si="169"/>
        <v>0</v>
      </c>
      <c r="G98" s="78">
        <v>0</v>
      </c>
      <c r="H98" s="78">
        <f t="shared" si="170"/>
        <v>0</v>
      </c>
      <c r="I98" s="78">
        <f t="shared" si="171"/>
        <v>0</v>
      </c>
      <c r="J98" s="78">
        <f t="shared" si="158"/>
        <v>0</v>
      </c>
      <c r="K98" s="79">
        <f t="shared" si="172"/>
        <v>0</v>
      </c>
      <c r="L98" s="79">
        <f t="shared" si="159"/>
        <v>0</v>
      </c>
      <c r="M98" s="79">
        <v>0</v>
      </c>
      <c r="N98" s="79">
        <f t="shared" si="173"/>
        <v>0</v>
      </c>
      <c r="O98" s="79">
        <v>0</v>
      </c>
      <c r="P98" s="79">
        <f t="shared" si="174"/>
        <v>0</v>
      </c>
      <c r="Q98" s="79">
        <f t="shared" si="175"/>
        <v>0</v>
      </c>
      <c r="R98" s="79">
        <f t="shared" si="160"/>
        <v>0</v>
      </c>
      <c r="S98" s="80">
        <f t="shared" si="176"/>
        <v>0</v>
      </c>
      <c r="T98" s="80">
        <f t="shared" si="161"/>
        <v>0</v>
      </c>
      <c r="U98" s="80">
        <v>0</v>
      </c>
      <c r="V98" s="80">
        <f t="shared" si="177"/>
        <v>0</v>
      </c>
      <c r="W98" s="80">
        <v>0</v>
      </c>
      <c r="X98" s="80">
        <f t="shared" si="178"/>
        <v>0</v>
      </c>
      <c r="Y98" s="80">
        <f t="shared" si="179"/>
        <v>0</v>
      </c>
      <c r="Z98" s="80">
        <f t="shared" si="162"/>
        <v>0</v>
      </c>
      <c r="AA98" s="81">
        <f t="shared" si="180"/>
        <v>0</v>
      </c>
      <c r="AB98" s="81">
        <f t="shared" si="163"/>
        <v>0</v>
      </c>
      <c r="AC98" s="81">
        <v>0</v>
      </c>
      <c r="AD98" s="81">
        <f t="shared" si="181"/>
        <v>0</v>
      </c>
      <c r="AE98" s="81">
        <v>0</v>
      </c>
      <c r="AF98" s="81">
        <f t="shared" si="182"/>
        <v>0</v>
      </c>
      <c r="AG98" s="81">
        <f t="shared" si="183"/>
        <v>0</v>
      </c>
      <c r="AH98" s="81">
        <f t="shared" si="164"/>
        <v>0</v>
      </c>
      <c r="AI98" s="82">
        <f t="shared" si="184"/>
        <v>0</v>
      </c>
      <c r="AJ98" s="82">
        <f t="shared" si="165"/>
        <v>0</v>
      </c>
      <c r="AK98" s="82">
        <v>0</v>
      </c>
      <c r="AL98" s="82">
        <f t="shared" si="185"/>
        <v>0</v>
      </c>
      <c r="AM98" s="82">
        <v>0</v>
      </c>
      <c r="AN98" s="82">
        <f t="shared" si="186"/>
        <v>0</v>
      </c>
      <c r="AO98" s="82">
        <f t="shared" si="187"/>
        <v>0</v>
      </c>
      <c r="AP98" s="82">
        <f t="shared" si="166"/>
        <v>0</v>
      </c>
      <c r="AQ98" s="83">
        <f t="shared" si="188"/>
        <v>0</v>
      </c>
      <c r="AR98" s="83">
        <f t="shared" si="167"/>
        <v>0</v>
      </c>
      <c r="AS98" s="83">
        <v>0</v>
      </c>
      <c r="AT98" s="83">
        <f t="shared" si="189"/>
        <v>0</v>
      </c>
      <c r="AU98" s="83">
        <v>0</v>
      </c>
      <c r="AV98" s="83">
        <f t="shared" si="190"/>
        <v>0</v>
      </c>
      <c r="AW98" s="83">
        <f t="shared" si="191"/>
        <v>0</v>
      </c>
      <c r="AX98" s="83">
        <f t="shared" si="168"/>
        <v>0</v>
      </c>
    </row>
    <row r="99" spans="2:50" ht="31" x14ac:dyDescent="0.35">
      <c r="B99" s="84" t="s">
        <v>149</v>
      </c>
      <c r="C99" s="78">
        <v>0</v>
      </c>
      <c r="D99" s="78">
        <v>0</v>
      </c>
      <c r="E99" s="78">
        <v>0</v>
      </c>
      <c r="F99" s="78">
        <f t="shared" si="169"/>
        <v>0</v>
      </c>
      <c r="G99" s="78">
        <v>0</v>
      </c>
      <c r="H99" s="78">
        <f t="shared" si="170"/>
        <v>0</v>
      </c>
      <c r="I99" s="78">
        <f t="shared" si="171"/>
        <v>0</v>
      </c>
      <c r="J99" s="78">
        <f t="shared" si="158"/>
        <v>0</v>
      </c>
      <c r="K99" s="79">
        <f t="shared" si="172"/>
        <v>0</v>
      </c>
      <c r="L99" s="79">
        <f t="shared" si="159"/>
        <v>0</v>
      </c>
      <c r="M99" s="79">
        <v>0</v>
      </c>
      <c r="N99" s="79">
        <f t="shared" si="173"/>
        <v>0</v>
      </c>
      <c r="O99" s="79">
        <v>0</v>
      </c>
      <c r="P99" s="79">
        <f t="shared" si="174"/>
        <v>0</v>
      </c>
      <c r="Q99" s="79">
        <f t="shared" si="175"/>
        <v>0</v>
      </c>
      <c r="R99" s="79">
        <f t="shared" si="160"/>
        <v>0</v>
      </c>
      <c r="S99" s="80">
        <f t="shared" si="176"/>
        <v>0</v>
      </c>
      <c r="T99" s="80">
        <f t="shared" si="161"/>
        <v>0</v>
      </c>
      <c r="U99" s="80">
        <v>0</v>
      </c>
      <c r="V99" s="80">
        <f t="shared" si="177"/>
        <v>0</v>
      </c>
      <c r="W99" s="80">
        <v>0</v>
      </c>
      <c r="X99" s="80">
        <f t="shared" si="178"/>
        <v>0</v>
      </c>
      <c r="Y99" s="80">
        <f t="shared" si="179"/>
        <v>0</v>
      </c>
      <c r="Z99" s="80">
        <f t="shared" si="162"/>
        <v>0</v>
      </c>
      <c r="AA99" s="81">
        <f t="shared" si="180"/>
        <v>0</v>
      </c>
      <c r="AB99" s="81">
        <f t="shared" si="163"/>
        <v>0</v>
      </c>
      <c r="AC99" s="81">
        <v>0</v>
      </c>
      <c r="AD99" s="81">
        <f t="shared" si="181"/>
        <v>0</v>
      </c>
      <c r="AE99" s="81">
        <v>0</v>
      </c>
      <c r="AF99" s="81">
        <f t="shared" si="182"/>
        <v>0</v>
      </c>
      <c r="AG99" s="81">
        <f t="shared" si="183"/>
        <v>0</v>
      </c>
      <c r="AH99" s="81">
        <f t="shared" si="164"/>
        <v>0</v>
      </c>
      <c r="AI99" s="82">
        <f t="shared" si="184"/>
        <v>0</v>
      </c>
      <c r="AJ99" s="82">
        <f t="shared" si="165"/>
        <v>0</v>
      </c>
      <c r="AK99" s="82">
        <v>0</v>
      </c>
      <c r="AL99" s="82">
        <f t="shared" si="185"/>
        <v>0</v>
      </c>
      <c r="AM99" s="82">
        <v>0</v>
      </c>
      <c r="AN99" s="82">
        <f t="shared" si="186"/>
        <v>0</v>
      </c>
      <c r="AO99" s="82">
        <f t="shared" si="187"/>
        <v>0</v>
      </c>
      <c r="AP99" s="82">
        <f t="shared" si="166"/>
        <v>0</v>
      </c>
      <c r="AQ99" s="83">
        <f t="shared" si="188"/>
        <v>0</v>
      </c>
      <c r="AR99" s="83">
        <f t="shared" si="167"/>
        <v>0</v>
      </c>
      <c r="AS99" s="83">
        <v>0</v>
      </c>
      <c r="AT99" s="83">
        <f t="shared" si="189"/>
        <v>0</v>
      </c>
      <c r="AU99" s="83">
        <v>0</v>
      </c>
      <c r="AV99" s="83">
        <f t="shared" si="190"/>
        <v>0</v>
      </c>
      <c r="AW99" s="83">
        <f t="shared" si="191"/>
        <v>0</v>
      </c>
      <c r="AX99" s="83">
        <f t="shared" si="168"/>
        <v>0</v>
      </c>
    </row>
    <row r="100" spans="2:50" x14ac:dyDescent="0.35">
      <c r="B100" s="12" t="s">
        <v>27</v>
      </c>
      <c r="C100" s="85">
        <f>SUM(C83:C99)</f>
        <v>759.86978897899996</v>
      </c>
      <c r="D100" s="85">
        <f t="shared" ref="D100:E100" si="192">SUM(D83:D99)</f>
        <v>759.86978897899996</v>
      </c>
      <c r="E100" s="85">
        <f t="shared" si="192"/>
        <v>34.474165800000002</v>
      </c>
      <c r="F100" s="85">
        <v>34.472755448999997</v>
      </c>
      <c r="G100" s="85">
        <f t="shared" ref="G100:M100" si="193">SUM(G83:G99)</f>
        <v>6.6024458999999993</v>
      </c>
      <c r="H100" s="85">
        <f t="shared" si="193"/>
        <v>6.6024458999999993</v>
      </c>
      <c r="I100" s="85">
        <f t="shared" si="193"/>
        <v>787.74150887899998</v>
      </c>
      <c r="J100" s="85">
        <f t="shared" si="193"/>
        <v>787.74009852800009</v>
      </c>
      <c r="K100" s="86">
        <f t="shared" si="193"/>
        <v>787.74150887899998</v>
      </c>
      <c r="L100" s="86">
        <f t="shared" si="193"/>
        <v>787.74009852800009</v>
      </c>
      <c r="M100" s="86">
        <f t="shared" si="193"/>
        <v>5.2500969</v>
      </c>
      <c r="N100" s="86">
        <v>3.7639175140000001</v>
      </c>
      <c r="O100" s="86">
        <f t="shared" ref="O100:U100" si="194">SUM(O83:O99)</f>
        <v>0</v>
      </c>
      <c r="P100" s="86">
        <f t="shared" si="194"/>
        <v>0</v>
      </c>
      <c r="Q100" s="86">
        <f t="shared" si="194"/>
        <v>792.991605779</v>
      </c>
      <c r="R100" s="86">
        <f t="shared" si="194"/>
        <v>791.5040160420001</v>
      </c>
      <c r="S100" s="87">
        <f t="shared" si="194"/>
        <v>792.991605779</v>
      </c>
      <c r="T100" s="87">
        <f t="shared" si="194"/>
        <v>791.5040160420001</v>
      </c>
      <c r="U100" s="87">
        <f t="shared" si="194"/>
        <v>10.035536499999999</v>
      </c>
      <c r="V100" s="87">
        <v>10.037937731</v>
      </c>
      <c r="W100" s="87">
        <f t="shared" ref="W100:AC100" si="195">SUM(W83:W99)</f>
        <v>0</v>
      </c>
      <c r="X100" s="87">
        <f t="shared" si="195"/>
        <v>0</v>
      </c>
      <c r="Y100" s="87">
        <f t="shared" si="195"/>
        <v>803.02714227900003</v>
      </c>
      <c r="Z100" s="87">
        <f t="shared" si="195"/>
        <v>801.54195377299993</v>
      </c>
      <c r="AA100" s="88">
        <f t="shared" si="195"/>
        <v>803.02714227900003</v>
      </c>
      <c r="AB100" s="88">
        <f t="shared" si="195"/>
        <v>801.54195377299993</v>
      </c>
      <c r="AC100" s="88">
        <f t="shared" si="195"/>
        <v>6.19</v>
      </c>
      <c r="AD100" s="88">
        <v>6.19</v>
      </c>
      <c r="AE100" s="88">
        <f t="shared" ref="AE100:AK100" si="196">SUM(AE83:AE99)</f>
        <v>0</v>
      </c>
      <c r="AF100" s="88">
        <f t="shared" si="196"/>
        <v>0</v>
      </c>
      <c r="AG100" s="88">
        <f t="shared" si="196"/>
        <v>809.21714227900009</v>
      </c>
      <c r="AH100" s="88">
        <f t="shared" si="196"/>
        <v>807.73195377299999</v>
      </c>
      <c r="AI100" s="89">
        <f t="shared" si="196"/>
        <v>809.21714227900009</v>
      </c>
      <c r="AJ100" s="89">
        <f t="shared" si="196"/>
        <v>807.73195377299999</v>
      </c>
      <c r="AK100" s="89">
        <f t="shared" si="196"/>
        <v>49.98</v>
      </c>
      <c r="AL100" s="89">
        <v>29.759999999999998</v>
      </c>
      <c r="AM100" s="89">
        <f t="shared" ref="AM100:AS100" si="197">SUM(AM83:AM99)</f>
        <v>0</v>
      </c>
      <c r="AN100" s="89">
        <f t="shared" si="197"/>
        <v>0</v>
      </c>
      <c r="AO100" s="89">
        <f t="shared" si="197"/>
        <v>859.1971422790001</v>
      </c>
      <c r="AP100" s="89">
        <f t="shared" si="197"/>
        <v>837.49195377299998</v>
      </c>
      <c r="AQ100" s="90">
        <f t="shared" si="197"/>
        <v>859.1971422790001</v>
      </c>
      <c r="AR100" s="90">
        <f t="shared" si="197"/>
        <v>837.49195377299998</v>
      </c>
      <c r="AS100" s="90">
        <f t="shared" si="197"/>
        <v>83.04</v>
      </c>
      <c r="AT100" s="90">
        <v>10.719999999999999</v>
      </c>
      <c r="AU100" s="90">
        <f t="shared" ref="AU100:AX100" si="198">SUM(AU83:AU99)</f>
        <v>0</v>
      </c>
      <c r="AV100" s="90">
        <f t="shared" si="198"/>
        <v>0</v>
      </c>
      <c r="AW100" s="90">
        <f t="shared" si="198"/>
        <v>942.23714227900007</v>
      </c>
      <c r="AX100" s="90">
        <f t="shared" si="198"/>
        <v>848.211953773</v>
      </c>
    </row>
    <row r="101" spans="2:50" s="77" customFormat="1" x14ac:dyDescent="0.35">
      <c r="B101" s="70" t="s">
        <v>153</v>
      </c>
      <c r="C101" s="71"/>
      <c r="D101" s="71"/>
      <c r="E101" s="71"/>
      <c r="F101" s="71"/>
      <c r="G101" s="71"/>
      <c r="H101" s="71"/>
      <c r="I101" s="71"/>
      <c r="J101" s="71"/>
      <c r="K101" s="72"/>
      <c r="L101" s="72"/>
      <c r="M101" s="72"/>
      <c r="N101" s="72"/>
      <c r="O101" s="72"/>
      <c r="P101" s="72"/>
      <c r="Q101" s="72"/>
      <c r="R101" s="72"/>
      <c r="S101" s="73"/>
      <c r="T101" s="73"/>
      <c r="U101" s="73"/>
      <c r="V101" s="73"/>
      <c r="W101" s="73"/>
      <c r="X101" s="73"/>
      <c r="Y101" s="73"/>
      <c r="Z101" s="73"/>
      <c r="AA101" s="74"/>
      <c r="AB101" s="74"/>
      <c r="AC101" s="74"/>
      <c r="AD101" s="74"/>
      <c r="AE101" s="74"/>
      <c r="AF101" s="74"/>
      <c r="AG101" s="74"/>
      <c r="AH101" s="74"/>
      <c r="AI101" s="75"/>
      <c r="AJ101" s="75"/>
      <c r="AK101" s="75"/>
      <c r="AL101" s="75"/>
      <c r="AM101" s="75"/>
      <c r="AN101" s="75"/>
      <c r="AO101" s="75"/>
      <c r="AP101" s="75"/>
      <c r="AQ101" s="76"/>
      <c r="AR101" s="76"/>
      <c r="AS101" s="76"/>
      <c r="AT101" s="76"/>
      <c r="AU101" s="76"/>
      <c r="AV101" s="76"/>
      <c r="AW101" s="76"/>
      <c r="AX101" s="76"/>
    </row>
    <row r="102" spans="2:50" x14ac:dyDescent="0.35">
      <c r="B102" s="7" t="s">
        <v>133</v>
      </c>
      <c r="C102" s="78">
        <v>5.6199999999999992</v>
      </c>
      <c r="D102" s="78">
        <v>5.6199999999999992</v>
      </c>
      <c r="E102" s="78">
        <v>0</v>
      </c>
      <c r="F102" s="78"/>
      <c r="G102" s="78">
        <v>0</v>
      </c>
      <c r="H102" s="78">
        <f>G102</f>
        <v>0</v>
      </c>
      <c r="I102" s="78">
        <f>C102+E102-G102</f>
        <v>5.6199999999999992</v>
      </c>
      <c r="J102" s="78">
        <f t="shared" ref="J102:J118" si="199">D102+F102-H102</f>
        <v>5.6199999999999992</v>
      </c>
      <c r="K102" s="79"/>
      <c r="L102" s="79"/>
      <c r="M102" s="79"/>
      <c r="N102" s="79"/>
      <c r="O102" s="79"/>
      <c r="P102" s="79"/>
      <c r="Q102" s="79"/>
      <c r="R102" s="79"/>
      <c r="S102" s="80"/>
      <c r="T102" s="80"/>
      <c r="U102" s="80"/>
      <c r="V102" s="80"/>
      <c r="W102" s="80"/>
      <c r="X102" s="80"/>
      <c r="Y102" s="80"/>
      <c r="Z102" s="80"/>
      <c r="AA102" s="81"/>
      <c r="AB102" s="81"/>
      <c r="AC102" s="81"/>
      <c r="AD102" s="81"/>
      <c r="AE102" s="81"/>
      <c r="AF102" s="81"/>
      <c r="AG102" s="81"/>
      <c r="AH102" s="81"/>
      <c r="AI102" s="82"/>
      <c r="AJ102" s="82"/>
      <c r="AK102" s="82"/>
      <c r="AL102" s="82"/>
      <c r="AM102" s="82"/>
      <c r="AN102" s="82"/>
      <c r="AO102" s="82"/>
      <c r="AP102" s="82"/>
      <c r="AQ102" s="83"/>
      <c r="AR102" s="83"/>
      <c r="AS102" s="83"/>
      <c r="AT102" s="83"/>
      <c r="AU102" s="83"/>
      <c r="AV102" s="83"/>
      <c r="AW102" s="83"/>
      <c r="AX102" s="83"/>
    </row>
    <row r="103" spans="2:50" x14ac:dyDescent="0.35">
      <c r="B103" s="7" t="s">
        <v>134</v>
      </c>
      <c r="C103" s="78">
        <v>25.388585699999993</v>
      </c>
      <c r="D103" s="78">
        <v>25.388585699999993</v>
      </c>
      <c r="E103" s="78">
        <v>0</v>
      </c>
      <c r="F103" s="78"/>
      <c r="G103" s="78">
        <v>0</v>
      </c>
      <c r="H103" s="78">
        <f t="shared" ref="H103:H118" si="200">G103</f>
        <v>0</v>
      </c>
      <c r="I103" s="78">
        <f t="shared" ref="I103:I118" si="201">C103+E103-G103</f>
        <v>25.388585699999993</v>
      </c>
      <c r="J103" s="78">
        <f t="shared" si="199"/>
        <v>25.388585699999993</v>
      </c>
      <c r="K103" s="79"/>
      <c r="L103" s="79"/>
      <c r="M103" s="79"/>
      <c r="N103" s="79"/>
      <c r="O103" s="79"/>
      <c r="P103" s="79"/>
      <c r="Q103" s="79"/>
      <c r="R103" s="79"/>
      <c r="S103" s="80"/>
      <c r="T103" s="80"/>
      <c r="U103" s="80"/>
      <c r="V103" s="80"/>
      <c r="W103" s="80"/>
      <c r="X103" s="80"/>
      <c r="Y103" s="80"/>
      <c r="Z103" s="80"/>
      <c r="AA103" s="81"/>
      <c r="AB103" s="81"/>
      <c r="AC103" s="81"/>
      <c r="AD103" s="81"/>
      <c r="AE103" s="81"/>
      <c r="AF103" s="81"/>
      <c r="AG103" s="81"/>
      <c r="AH103" s="81"/>
      <c r="AI103" s="82"/>
      <c r="AJ103" s="82"/>
      <c r="AK103" s="82"/>
      <c r="AL103" s="82"/>
      <c r="AM103" s="82"/>
      <c r="AN103" s="82"/>
      <c r="AO103" s="82"/>
      <c r="AP103" s="82"/>
      <c r="AQ103" s="83"/>
      <c r="AR103" s="83"/>
      <c r="AS103" s="83"/>
      <c r="AT103" s="83"/>
      <c r="AU103" s="83"/>
      <c r="AV103" s="83"/>
      <c r="AW103" s="83"/>
      <c r="AX103" s="83"/>
    </row>
    <row r="104" spans="2:50" ht="31" x14ac:dyDescent="0.35">
      <c r="B104" s="84" t="s">
        <v>135</v>
      </c>
      <c r="C104" s="78">
        <v>0</v>
      </c>
      <c r="D104" s="78">
        <v>0</v>
      </c>
      <c r="E104" s="78">
        <v>0</v>
      </c>
      <c r="F104" s="78"/>
      <c r="G104" s="78">
        <v>0</v>
      </c>
      <c r="H104" s="78">
        <f t="shared" si="200"/>
        <v>0</v>
      </c>
      <c r="I104" s="78">
        <f t="shared" si="201"/>
        <v>0</v>
      </c>
      <c r="J104" s="78">
        <f t="shared" si="199"/>
        <v>0</v>
      </c>
      <c r="K104" s="79"/>
      <c r="L104" s="79"/>
      <c r="M104" s="79"/>
      <c r="N104" s="79"/>
      <c r="O104" s="79"/>
      <c r="P104" s="79"/>
      <c r="Q104" s="79"/>
      <c r="R104" s="79"/>
      <c r="S104" s="80"/>
      <c r="T104" s="80"/>
      <c r="U104" s="80"/>
      <c r="V104" s="80"/>
      <c r="W104" s="80"/>
      <c r="X104" s="80"/>
      <c r="Y104" s="80"/>
      <c r="Z104" s="80"/>
      <c r="AA104" s="81"/>
      <c r="AB104" s="81"/>
      <c r="AC104" s="81"/>
      <c r="AD104" s="81"/>
      <c r="AE104" s="81"/>
      <c r="AF104" s="81"/>
      <c r="AG104" s="81"/>
      <c r="AH104" s="81"/>
      <c r="AI104" s="82"/>
      <c r="AJ104" s="82"/>
      <c r="AK104" s="82"/>
      <c r="AL104" s="82"/>
      <c r="AM104" s="82"/>
      <c r="AN104" s="82"/>
      <c r="AO104" s="82"/>
      <c r="AP104" s="82"/>
      <c r="AQ104" s="83"/>
      <c r="AR104" s="83"/>
      <c r="AS104" s="83"/>
      <c r="AT104" s="83"/>
      <c r="AU104" s="83"/>
      <c r="AV104" s="83"/>
      <c r="AW104" s="83"/>
      <c r="AX104" s="83"/>
    </row>
    <row r="105" spans="2:50" x14ac:dyDescent="0.35">
      <c r="B105" s="7" t="s">
        <v>136</v>
      </c>
      <c r="C105" s="78">
        <v>154.5094086</v>
      </c>
      <c r="D105" s="78">
        <v>154.5094086</v>
      </c>
      <c r="E105" s="78">
        <v>0</v>
      </c>
      <c r="F105" s="78"/>
      <c r="G105" s="78">
        <v>0</v>
      </c>
      <c r="H105" s="78">
        <f t="shared" si="200"/>
        <v>0</v>
      </c>
      <c r="I105" s="78">
        <f t="shared" si="201"/>
        <v>154.5094086</v>
      </c>
      <c r="J105" s="78">
        <f t="shared" si="199"/>
        <v>154.5094086</v>
      </c>
      <c r="K105" s="79"/>
      <c r="L105" s="79"/>
      <c r="M105" s="79"/>
      <c r="N105" s="79"/>
      <c r="O105" s="79"/>
      <c r="P105" s="79"/>
      <c r="Q105" s="79"/>
      <c r="R105" s="79"/>
      <c r="S105" s="80"/>
      <c r="T105" s="80"/>
      <c r="U105" s="80"/>
      <c r="V105" s="80"/>
      <c r="W105" s="80"/>
      <c r="X105" s="80"/>
      <c r="Y105" s="80"/>
      <c r="Z105" s="80"/>
      <c r="AA105" s="81"/>
      <c r="AB105" s="81"/>
      <c r="AC105" s="81"/>
      <c r="AD105" s="81"/>
      <c r="AE105" s="81"/>
      <c r="AF105" s="81"/>
      <c r="AG105" s="81"/>
      <c r="AH105" s="81"/>
      <c r="AI105" s="82"/>
      <c r="AJ105" s="82"/>
      <c r="AK105" s="82"/>
      <c r="AL105" s="82"/>
      <c r="AM105" s="82"/>
      <c r="AN105" s="82"/>
      <c r="AO105" s="82"/>
      <c r="AP105" s="82"/>
      <c r="AQ105" s="83"/>
      <c r="AR105" s="83"/>
      <c r="AS105" s="83"/>
      <c r="AT105" s="83"/>
      <c r="AU105" s="83"/>
      <c r="AV105" s="83"/>
      <c r="AW105" s="83"/>
      <c r="AX105" s="83"/>
    </row>
    <row r="106" spans="2:50" x14ac:dyDescent="0.35">
      <c r="B106" s="7" t="s">
        <v>137</v>
      </c>
      <c r="C106" s="78">
        <v>3.4276608999999993</v>
      </c>
      <c r="D106" s="78">
        <v>3.4276608999999993</v>
      </c>
      <c r="E106" s="78">
        <v>0</v>
      </c>
      <c r="F106" s="78"/>
      <c r="G106" s="78">
        <v>0</v>
      </c>
      <c r="H106" s="78">
        <f t="shared" si="200"/>
        <v>0</v>
      </c>
      <c r="I106" s="78">
        <f t="shared" si="201"/>
        <v>3.4276608999999993</v>
      </c>
      <c r="J106" s="78">
        <f t="shared" si="199"/>
        <v>3.4276608999999993</v>
      </c>
      <c r="K106" s="79"/>
      <c r="L106" s="79"/>
      <c r="M106" s="79"/>
      <c r="N106" s="79"/>
      <c r="O106" s="79"/>
      <c r="P106" s="79"/>
      <c r="Q106" s="79"/>
      <c r="R106" s="79"/>
      <c r="S106" s="80"/>
      <c r="T106" s="80"/>
      <c r="U106" s="80"/>
      <c r="V106" s="80"/>
      <c r="W106" s="80"/>
      <c r="X106" s="80"/>
      <c r="Y106" s="80"/>
      <c r="Z106" s="80"/>
      <c r="AA106" s="81"/>
      <c r="AB106" s="81"/>
      <c r="AC106" s="81"/>
      <c r="AD106" s="81"/>
      <c r="AE106" s="81"/>
      <c r="AF106" s="81"/>
      <c r="AG106" s="81"/>
      <c r="AH106" s="81"/>
      <c r="AI106" s="82"/>
      <c r="AJ106" s="82"/>
      <c r="AK106" s="82"/>
      <c r="AL106" s="82"/>
      <c r="AM106" s="82"/>
      <c r="AN106" s="82"/>
      <c r="AO106" s="82"/>
      <c r="AP106" s="82"/>
      <c r="AQ106" s="83"/>
      <c r="AR106" s="83"/>
      <c r="AS106" s="83"/>
      <c r="AT106" s="83"/>
      <c r="AU106" s="83"/>
      <c r="AV106" s="83"/>
      <c r="AW106" s="83"/>
      <c r="AX106" s="83"/>
    </row>
    <row r="107" spans="2:50" x14ac:dyDescent="0.35">
      <c r="B107" s="7" t="s">
        <v>138</v>
      </c>
      <c r="C107" s="78">
        <v>506.73119495672574</v>
      </c>
      <c r="D107" s="78">
        <v>506.73119495672574</v>
      </c>
      <c r="E107" s="78">
        <v>0</v>
      </c>
      <c r="F107" s="78"/>
      <c r="G107" s="78">
        <v>0</v>
      </c>
      <c r="H107" s="78">
        <f t="shared" si="200"/>
        <v>0</v>
      </c>
      <c r="I107" s="78">
        <f t="shared" si="201"/>
        <v>506.73119495672574</v>
      </c>
      <c r="J107" s="78">
        <f t="shared" si="199"/>
        <v>506.73119495672574</v>
      </c>
      <c r="K107" s="79"/>
      <c r="L107" s="79"/>
      <c r="M107" s="79"/>
      <c r="N107" s="79"/>
      <c r="O107" s="79"/>
      <c r="P107" s="79"/>
      <c r="Q107" s="79"/>
      <c r="R107" s="79"/>
      <c r="S107" s="80"/>
      <c r="T107" s="80"/>
      <c r="U107" s="80"/>
      <c r="V107" s="80"/>
      <c r="W107" s="80"/>
      <c r="X107" s="80"/>
      <c r="Y107" s="80"/>
      <c r="Z107" s="80"/>
      <c r="AA107" s="81"/>
      <c r="AB107" s="81"/>
      <c r="AC107" s="81"/>
      <c r="AD107" s="81"/>
      <c r="AE107" s="81"/>
      <c r="AF107" s="81"/>
      <c r="AG107" s="81"/>
      <c r="AH107" s="81"/>
      <c r="AI107" s="82"/>
      <c r="AJ107" s="82"/>
      <c r="AK107" s="82"/>
      <c r="AL107" s="82"/>
      <c r="AM107" s="82"/>
      <c r="AN107" s="82"/>
      <c r="AO107" s="82"/>
      <c r="AP107" s="82"/>
      <c r="AQ107" s="83"/>
      <c r="AR107" s="83"/>
      <c r="AS107" s="83"/>
      <c r="AT107" s="83"/>
      <c r="AU107" s="83"/>
      <c r="AV107" s="83"/>
      <c r="AW107" s="83"/>
      <c r="AX107" s="83"/>
    </row>
    <row r="108" spans="2:50" x14ac:dyDescent="0.35">
      <c r="B108" s="7" t="s">
        <v>139</v>
      </c>
      <c r="C108" s="78">
        <v>0</v>
      </c>
      <c r="D108" s="78">
        <v>0</v>
      </c>
      <c r="E108" s="78">
        <v>0</v>
      </c>
      <c r="F108" s="78"/>
      <c r="G108" s="78">
        <v>0</v>
      </c>
      <c r="H108" s="78">
        <f t="shared" si="200"/>
        <v>0</v>
      </c>
      <c r="I108" s="78">
        <f t="shared" si="201"/>
        <v>0</v>
      </c>
      <c r="J108" s="78">
        <f t="shared" si="199"/>
        <v>0</v>
      </c>
      <c r="K108" s="79"/>
      <c r="L108" s="79"/>
      <c r="M108" s="79"/>
      <c r="N108" s="79"/>
      <c r="O108" s="79"/>
      <c r="P108" s="79"/>
      <c r="Q108" s="79"/>
      <c r="R108" s="79"/>
      <c r="S108" s="80"/>
      <c r="T108" s="80"/>
      <c r="U108" s="80"/>
      <c r="V108" s="80"/>
      <c r="W108" s="80"/>
      <c r="X108" s="80"/>
      <c r="Y108" s="80"/>
      <c r="Z108" s="80"/>
      <c r="AA108" s="81"/>
      <c r="AB108" s="81"/>
      <c r="AC108" s="81"/>
      <c r="AD108" s="81"/>
      <c r="AE108" s="81"/>
      <c r="AF108" s="81"/>
      <c r="AG108" s="81"/>
      <c r="AH108" s="81"/>
      <c r="AI108" s="82"/>
      <c r="AJ108" s="82"/>
      <c r="AK108" s="82"/>
      <c r="AL108" s="82"/>
      <c r="AM108" s="82"/>
      <c r="AN108" s="82"/>
      <c r="AO108" s="82"/>
      <c r="AP108" s="82"/>
      <c r="AQ108" s="83"/>
      <c r="AR108" s="83"/>
      <c r="AS108" s="83"/>
      <c r="AT108" s="83"/>
      <c r="AU108" s="83"/>
      <c r="AV108" s="83"/>
      <c r="AW108" s="83"/>
      <c r="AX108" s="83"/>
    </row>
    <row r="109" spans="2:50" x14ac:dyDescent="0.35">
      <c r="B109" s="7" t="s">
        <v>140</v>
      </c>
      <c r="C109" s="78">
        <v>0</v>
      </c>
      <c r="D109" s="78">
        <v>0</v>
      </c>
      <c r="E109" s="78">
        <v>0</v>
      </c>
      <c r="F109" s="78"/>
      <c r="G109" s="78">
        <v>0</v>
      </c>
      <c r="H109" s="78">
        <f t="shared" si="200"/>
        <v>0</v>
      </c>
      <c r="I109" s="78">
        <f t="shared" si="201"/>
        <v>0</v>
      </c>
      <c r="J109" s="78">
        <f t="shared" si="199"/>
        <v>0</v>
      </c>
      <c r="K109" s="79"/>
      <c r="L109" s="79"/>
      <c r="M109" s="79"/>
      <c r="N109" s="79"/>
      <c r="O109" s="79"/>
      <c r="P109" s="79"/>
      <c r="Q109" s="79"/>
      <c r="R109" s="79"/>
      <c r="S109" s="80"/>
      <c r="T109" s="80"/>
      <c r="U109" s="80"/>
      <c r="V109" s="80"/>
      <c r="W109" s="80"/>
      <c r="X109" s="80"/>
      <c r="Y109" s="80"/>
      <c r="Z109" s="80"/>
      <c r="AA109" s="81"/>
      <c r="AB109" s="81"/>
      <c r="AC109" s="81"/>
      <c r="AD109" s="81"/>
      <c r="AE109" s="81"/>
      <c r="AF109" s="81"/>
      <c r="AG109" s="81"/>
      <c r="AH109" s="81"/>
      <c r="AI109" s="82"/>
      <c r="AJ109" s="82"/>
      <c r="AK109" s="82"/>
      <c r="AL109" s="82"/>
      <c r="AM109" s="82"/>
      <c r="AN109" s="82"/>
      <c r="AO109" s="82"/>
      <c r="AP109" s="82"/>
      <c r="AQ109" s="83"/>
      <c r="AR109" s="83"/>
      <c r="AS109" s="83"/>
      <c r="AT109" s="83"/>
      <c r="AU109" s="83"/>
      <c r="AV109" s="83"/>
      <c r="AW109" s="83"/>
      <c r="AX109" s="83"/>
    </row>
    <row r="110" spans="2:50" x14ac:dyDescent="0.35">
      <c r="B110" s="7" t="s">
        <v>141</v>
      </c>
      <c r="C110" s="78">
        <v>2.7108903472742409</v>
      </c>
      <c r="D110" s="78">
        <v>2.7108903472742409</v>
      </c>
      <c r="E110" s="78">
        <v>0</v>
      </c>
      <c r="F110" s="78"/>
      <c r="G110" s="78">
        <v>0</v>
      </c>
      <c r="H110" s="78">
        <f t="shared" si="200"/>
        <v>0</v>
      </c>
      <c r="I110" s="78">
        <f t="shared" si="201"/>
        <v>2.7108903472742409</v>
      </c>
      <c r="J110" s="78">
        <f t="shared" si="199"/>
        <v>2.7108903472742409</v>
      </c>
      <c r="K110" s="79"/>
      <c r="L110" s="79"/>
      <c r="M110" s="79"/>
      <c r="N110" s="79"/>
      <c r="O110" s="79"/>
      <c r="P110" s="79"/>
      <c r="Q110" s="79"/>
      <c r="R110" s="79"/>
      <c r="S110" s="80"/>
      <c r="T110" s="80"/>
      <c r="U110" s="80"/>
      <c r="V110" s="80"/>
      <c r="W110" s="80"/>
      <c r="X110" s="80"/>
      <c r="Y110" s="80"/>
      <c r="Z110" s="80"/>
      <c r="AA110" s="81"/>
      <c r="AB110" s="81"/>
      <c r="AC110" s="81"/>
      <c r="AD110" s="81"/>
      <c r="AE110" s="81"/>
      <c r="AF110" s="81"/>
      <c r="AG110" s="81"/>
      <c r="AH110" s="81"/>
      <c r="AI110" s="82"/>
      <c r="AJ110" s="82"/>
      <c r="AK110" s="82"/>
      <c r="AL110" s="82"/>
      <c r="AM110" s="82"/>
      <c r="AN110" s="82"/>
      <c r="AO110" s="82"/>
      <c r="AP110" s="82"/>
      <c r="AQ110" s="83"/>
      <c r="AR110" s="83"/>
      <c r="AS110" s="83"/>
      <c r="AT110" s="83"/>
      <c r="AU110" s="83"/>
      <c r="AV110" s="83"/>
      <c r="AW110" s="83"/>
      <c r="AX110" s="83"/>
    </row>
    <row r="111" spans="2:50" x14ac:dyDescent="0.35">
      <c r="B111" s="7" t="s">
        <v>142</v>
      </c>
      <c r="C111" s="78">
        <v>0.91125900000000071</v>
      </c>
      <c r="D111" s="78">
        <v>0.91125900000000071</v>
      </c>
      <c r="E111" s="78">
        <v>0</v>
      </c>
      <c r="F111" s="78"/>
      <c r="G111" s="78">
        <v>0</v>
      </c>
      <c r="H111" s="78">
        <f t="shared" si="200"/>
        <v>0</v>
      </c>
      <c r="I111" s="78">
        <f t="shared" si="201"/>
        <v>0.91125900000000071</v>
      </c>
      <c r="J111" s="78">
        <f t="shared" si="199"/>
        <v>0.91125900000000071</v>
      </c>
      <c r="K111" s="79"/>
      <c r="L111" s="79"/>
      <c r="M111" s="79"/>
      <c r="N111" s="79"/>
      <c r="O111" s="79"/>
      <c r="P111" s="79"/>
      <c r="Q111" s="79"/>
      <c r="R111" s="79"/>
      <c r="S111" s="80"/>
      <c r="T111" s="80"/>
      <c r="U111" s="80"/>
      <c r="V111" s="80"/>
      <c r="W111" s="80"/>
      <c r="X111" s="80"/>
      <c r="Y111" s="80"/>
      <c r="Z111" s="80"/>
      <c r="AA111" s="81"/>
      <c r="AB111" s="81"/>
      <c r="AC111" s="81"/>
      <c r="AD111" s="81"/>
      <c r="AE111" s="81"/>
      <c r="AF111" s="81"/>
      <c r="AG111" s="81"/>
      <c r="AH111" s="81"/>
      <c r="AI111" s="82"/>
      <c r="AJ111" s="82"/>
      <c r="AK111" s="82"/>
      <c r="AL111" s="82"/>
      <c r="AM111" s="82"/>
      <c r="AN111" s="82"/>
      <c r="AO111" s="82"/>
      <c r="AP111" s="82"/>
      <c r="AQ111" s="83"/>
      <c r="AR111" s="83"/>
      <c r="AS111" s="83"/>
      <c r="AT111" s="83"/>
      <c r="AU111" s="83"/>
      <c r="AV111" s="83"/>
      <c r="AW111" s="83"/>
      <c r="AX111" s="83"/>
    </row>
    <row r="112" spans="2:50" x14ac:dyDescent="0.35">
      <c r="B112" s="7" t="s">
        <v>143</v>
      </c>
      <c r="C112" s="78">
        <v>0.70118820000000004</v>
      </c>
      <c r="D112" s="78">
        <v>0.70118820000000004</v>
      </c>
      <c r="E112" s="78">
        <v>0</v>
      </c>
      <c r="F112" s="78"/>
      <c r="G112" s="78">
        <v>0</v>
      </c>
      <c r="H112" s="78">
        <f t="shared" si="200"/>
        <v>0</v>
      </c>
      <c r="I112" s="78">
        <f t="shared" si="201"/>
        <v>0.70118820000000004</v>
      </c>
      <c r="J112" s="78">
        <f t="shared" si="199"/>
        <v>0.70118820000000004</v>
      </c>
      <c r="K112" s="79"/>
      <c r="L112" s="79"/>
      <c r="M112" s="79"/>
      <c r="N112" s="79"/>
      <c r="O112" s="79"/>
      <c r="P112" s="79"/>
      <c r="Q112" s="79"/>
      <c r="R112" s="79"/>
      <c r="S112" s="80"/>
      <c r="T112" s="80"/>
      <c r="U112" s="80"/>
      <c r="V112" s="80"/>
      <c r="W112" s="80"/>
      <c r="X112" s="80"/>
      <c r="Y112" s="80"/>
      <c r="Z112" s="80"/>
      <c r="AA112" s="81"/>
      <c r="AB112" s="81"/>
      <c r="AC112" s="81"/>
      <c r="AD112" s="81"/>
      <c r="AE112" s="81"/>
      <c r="AF112" s="81"/>
      <c r="AG112" s="81"/>
      <c r="AH112" s="81"/>
      <c r="AI112" s="82"/>
      <c r="AJ112" s="82"/>
      <c r="AK112" s="82"/>
      <c r="AL112" s="82"/>
      <c r="AM112" s="82"/>
      <c r="AN112" s="82"/>
      <c r="AO112" s="82"/>
      <c r="AP112" s="82"/>
      <c r="AQ112" s="83"/>
      <c r="AR112" s="83"/>
      <c r="AS112" s="83"/>
      <c r="AT112" s="83"/>
      <c r="AU112" s="83"/>
      <c r="AV112" s="83"/>
      <c r="AW112" s="83"/>
      <c r="AX112" s="83"/>
    </row>
    <row r="113" spans="2:50" x14ac:dyDescent="0.35">
      <c r="B113" s="7" t="s">
        <v>144</v>
      </c>
      <c r="C113" s="78">
        <v>1.7772091999999999</v>
      </c>
      <c r="D113" s="78">
        <v>1.7772091999999999</v>
      </c>
      <c r="E113" s="78">
        <v>0</v>
      </c>
      <c r="F113" s="78"/>
      <c r="G113" s="78">
        <v>0</v>
      </c>
      <c r="H113" s="78">
        <f t="shared" si="200"/>
        <v>0</v>
      </c>
      <c r="I113" s="78">
        <f t="shared" si="201"/>
        <v>1.7772091999999999</v>
      </c>
      <c r="J113" s="78">
        <f t="shared" si="199"/>
        <v>1.7772091999999999</v>
      </c>
      <c r="K113" s="79"/>
      <c r="L113" s="79"/>
      <c r="M113" s="79"/>
      <c r="N113" s="79"/>
      <c r="O113" s="79"/>
      <c r="P113" s="79"/>
      <c r="Q113" s="79"/>
      <c r="R113" s="79"/>
      <c r="S113" s="80"/>
      <c r="T113" s="80"/>
      <c r="U113" s="80"/>
      <c r="V113" s="80"/>
      <c r="W113" s="80"/>
      <c r="X113" s="80"/>
      <c r="Y113" s="80"/>
      <c r="Z113" s="80"/>
      <c r="AA113" s="81"/>
      <c r="AB113" s="81"/>
      <c r="AC113" s="81"/>
      <c r="AD113" s="81"/>
      <c r="AE113" s="81"/>
      <c r="AF113" s="81"/>
      <c r="AG113" s="81"/>
      <c r="AH113" s="81"/>
      <c r="AI113" s="82"/>
      <c r="AJ113" s="82"/>
      <c r="AK113" s="82"/>
      <c r="AL113" s="82"/>
      <c r="AM113" s="82"/>
      <c r="AN113" s="82"/>
      <c r="AO113" s="82"/>
      <c r="AP113" s="82"/>
      <c r="AQ113" s="83"/>
      <c r="AR113" s="83"/>
      <c r="AS113" s="83"/>
      <c r="AT113" s="83"/>
      <c r="AU113" s="83"/>
      <c r="AV113" s="83"/>
      <c r="AW113" s="83"/>
      <c r="AX113" s="83"/>
    </row>
    <row r="114" spans="2:50" x14ac:dyDescent="0.35">
      <c r="B114" s="7" t="s">
        <v>145</v>
      </c>
      <c r="C114" s="78">
        <v>0</v>
      </c>
      <c r="D114" s="78">
        <v>0</v>
      </c>
      <c r="E114" s="78">
        <v>0</v>
      </c>
      <c r="F114" s="78"/>
      <c r="G114" s="78">
        <v>0</v>
      </c>
      <c r="H114" s="78">
        <f t="shared" si="200"/>
        <v>0</v>
      </c>
      <c r="I114" s="78">
        <f t="shared" si="201"/>
        <v>0</v>
      </c>
      <c r="J114" s="78">
        <f t="shared" si="199"/>
        <v>0</v>
      </c>
      <c r="K114" s="79"/>
      <c r="L114" s="79"/>
      <c r="M114" s="79"/>
      <c r="N114" s="79"/>
      <c r="O114" s="79"/>
      <c r="P114" s="79"/>
      <c r="Q114" s="79"/>
      <c r="R114" s="79"/>
      <c r="S114" s="80"/>
      <c r="T114" s="80"/>
      <c r="U114" s="80"/>
      <c r="V114" s="80"/>
      <c r="W114" s="80"/>
      <c r="X114" s="80"/>
      <c r="Y114" s="80"/>
      <c r="Z114" s="80"/>
      <c r="AA114" s="81"/>
      <c r="AB114" s="81"/>
      <c r="AC114" s="81"/>
      <c r="AD114" s="81"/>
      <c r="AE114" s="81"/>
      <c r="AF114" s="81"/>
      <c r="AG114" s="81"/>
      <c r="AH114" s="81"/>
      <c r="AI114" s="82"/>
      <c r="AJ114" s="82"/>
      <c r="AK114" s="82"/>
      <c r="AL114" s="82"/>
      <c r="AM114" s="82"/>
      <c r="AN114" s="82"/>
      <c r="AO114" s="82"/>
      <c r="AP114" s="82"/>
      <c r="AQ114" s="83"/>
      <c r="AR114" s="83"/>
      <c r="AS114" s="83"/>
      <c r="AT114" s="83"/>
      <c r="AU114" s="83"/>
      <c r="AV114" s="83"/>
      <c r="AW114" s="83"/>
      <c r="AX114" s="83"/>
    </row>
    <row r="115" spans="2:50" x14ac:dyDescent="0.35">
      <c r="B115" s="7" t="s">
        <v>146</v>
      </c>
      <c r="C115" s="78">
        <v>0</v>
      </c>
      <c r="D115" s="78">
        <v>0</v>
      </c>
      <c r="E115" s="78">
        <v>0</v>
      </c>
      <c r="F115" s="78"/>
      <c r="G115" s="78">
        <v>0</v>
      </c>
      <c r="H115" s="78">
        <f t="shared" si="200"/>
        <v>0</v>
      </c>
      <c r="I115" s="78">
        <f t="shared" si="201"/>
        <v>0</v>
      </c>
      <c r="J115" s="78">
        <f t="shared" si="199"/>
        <v>0</v>
      </c>
      <c r="K115" s="79"/>
      <c r="L115" s="79"/>
      <c r="M115" s="79"/>
      <c r="N115" s="79"/>
      <c r="O115" s="79"/>
      <c r="P115" s="79"/>
      <c r="Q115" s="79"/>
      <c r="R115" s="79"/>
      <c r="S115" s="80"/>
      <c r="T115" s="80"/>
      <c r="U115" s="80"/>
      <c r="V115" s="80"/>
      <c r="W115" s="80"/>
      <c r="X115" s="80"/>
      <c r="Y115" s="80"/>
      <c r="Z115" s="80"/>
      <c r="AA115" s="81"/>
      <c r="AB115" s="81"/>
      <c r="AC115" s="81"/>
      <c r="AD115" s="81"/>
      <c r="AE115" s="81"/>
      <c r="AF115" s="81"/>
      <c r="AG115" s="81"/>
      <c r="AH115" s="81"/>
      <c r="AI115" s="82"/>
      <c r="AJ115" s="82"/>
      <c r="AK115" s="82"/>
      <c r="AL115" s="82"/>
      <c r="AM115" s="82"/>
      <c r="AN115" s="82"/>
      <c r="AO115" s="82"/>
      <c r="AP115" s="82"/>
      <c r="AQ115" s="83"/>
      <c r="AR115" s="83"/>
      <c r="AS115" s="83"/>
      <c r="AT115" s="83"/>
      <c r="AU115" s="83"/>
      <c r="AV115" s="83"/>
      <c r="AW115" s="83"/>
      <c r="AX115" s="83"/>
    </row>
    <row r="116" spans="2:50" x14ac:dyDescent="0.35">
      <c r="B116" s="7" t="s">
        <v>147</v>
      </c>
      <c r="C116" s="78">
        <v>0</v>
      </c>
      <c r="D116" s="78">
        <v>0</v>
      </c>
      <c r="E116" s="78">
        <v>0</v>
      </c>
      <c r="F116" s="78"/>
      <c r="G116" s="78">
        <v>0</v>
      </c>
      <c r="H116" s="78">
        <f t="shared" si="200"/>
        <v>0</v>
      </c>
      <c r="I116" s="78">
        <f t="shared" si="201"/>
        <v>0</v>
      </c>
      <c r="J116" s="78">
        <f t="shared" si="199"/>
        <v>0</v>
      </c>
      <c r="K116" s="79"/>
      <c r="L116" s="79"/>
      <c r="M116" s="79"/>
      <c r="N116" s="79"/>
      <c r="O116" s="79"/>
      <c r="P116" s="79"/>
      <c r="Q116" s="79"/>
      <c r="R116" s="79"/>
      <c r="S116" s="80"/>
      <c r="T116" s="80"/>
      <c r="U116" s="80"/>
      <c r="V116" s="80"/>
      <c r="W116" s="80"/>
      <c r="X116" s="80"/>
      <c r="Y116" s="80"/>
      <c r="Z116" s="80"/>
      <c r="AA116" s="81"/>
      <c r="AB116" s="81"/>
      <c r="AC116" s="81"/>
      <c r="AD116" s="81"/>
      <c r="AE116" s="81"/>
      <c r="AF116" s="81"/>
      <c r="AG116" s="81"/>
      <c r="AH116" s="81"/>
      <c r="AI116" s="82"/>
      <c r="AJ116" s="82"/>
      <c r="AK116" s="82"/>
      <c r="AL116" s="82"/>
      <c r="AM116" s="82"/>
      <c r="AN116" s="82"/>
      <c r="AO116" s="82"/>
      <c r="AP116" s="82"/>
      <c r="AQ116" s="83"/>
      <c r="AR116" s="83"/>
      <c r="AS116" s="83"/>
      <c r="AT116" s="83"/>
      <c r="AU116" s="83"/>
      <c r="AV116" s="83"/>
      <c r="AW116" s="83"/>
      <c r="AX116" s="83"/>
    </row>
    <row r="117" spans="2:50" x14ac:dyDescent="0.35">
      <c r="B117" s="7" t="s">
        <v>148</v>
      </c>
      <c r="C117" s="78">
        <v>0</v>
      </c>
      <c r="D117" s="78">
        <v>0</v>
      </c>
      <c r="E117" s="78">
        <v>0</v>
      </c>
      <c r="F117" s="78"/>
      <c r="G117" s="78">
        <v>0</v>
      </c>
      <c r="H117" s="78">
        <f t="shared" si="200"/>
        <v>0</v>
      </c>
      <c r="I117" s="78">
        <f t="shared" si="201"/>
        <v>0</v>
      </c>
      <c r="J117" s="78">
        <f t="shared" si="199"/>
        <v>0</v>
      </c>
      <c r="K117" s="79"/>
      <c r="L117" s="79"/>
      <c r="M117" s="79"/>
      <c r="N117" s="79"/>
      <c r="O117" s="79"/>
      <c r="P117" s="79"/>
      <c r="Q117" s="79"/>
      <c r="R117" s="79"/>
      <c r="S117" s="80"/>
      <c r="T117" s="80"/>
      <c r="U117" s="80"/>
      <c r="V117" s="80"/>
      <c r="W117" s="80"/>
      <c r="X117" s="80"/>
      <c r="Y117" s="80"/>
      <c r="Z117" s="80"/>
      <c r="AA117" s="81"/>
      <c r="AB117" s="81"/>
      <c r="AC117" s="81"/>
      <c r="AD117" s="81"/>
      <c r="AE117" s="81"/>
      <c r="AF117" s="81"/>
      <c r="AG117" s="81"/>
      <c r="AH117" s="81"/>
      <c r="AI117" s="82"/>
      <c r="AJ117" s="82"/>
      <c r="AK117" s="82"/>
      <c r="AL117" s="82"/>
      <c r="AM117" s="82"/>
      <c r="AN117" s="82"/>
      <c r="AO117" s="82"/>
      <c r="AP117" s="82"/>
      <c r="AQ117" s="83"/>
      <c r="AR117" s="83"/>
      <c r="AS117" s="83"/>
      <c r="AT117" s="83"/>
      <c r="AU117" s="83"/>
      <c r="AV117" s="83"/>
      <c r="AW117" s="83"/>
      <c r="AX117" s="83"/>
    </row>
    <row r="118" spans="2:50" ht="31" x14ac:dyDescent="0.35">
      <c r="B118" s="84" t="s">
        <v>149</v>
      </c>
      <c r="C118" s="78">
        <v>0</v>
      </c>
      <c r="D118" s="78">
        <v>0</v>
      </c>
      <c r="E118" s="78">
        <v>0</v>
      </c>
      <c r="F118" s="78"/>
      <c r="G118" s="78">
        <v>0</v>
      </c>
      <c r="H118" s="78">
        <f t="shared" si="200"/>
        <v>0</v>
      </c>
      <c r="I118" s="78">
        <f t="shared" si="201"/>
        <v>0</v>
      </c>
      <c r="J118" s="78">
        <f t="shared" si="199"/>
        <v>0</v>
      </c>
      <c r="K118" s="79"/>
      <c r="L118" s="79"/>
      <c r="M118" s="79"/>
      <c r="N118" s="79"/>
      <c r="O118" s="79"/>
      <c r="P118" s="79"/>
      <c r="Q118" s="79"/>
      <c r="R118" s="79"/>
      <c r="S118" s="80"/>
      <c r="T118" s="80"/>
      <c r="U118" s="80"/>
      <c r="V118" s="80"/>
      <c r="W118" s="80"/>
      <c r="X118" s="80"/>
      <c r="Y118" s="80"/>
      <c r="Z118" s="80"/>
      <c r="AA118" s="81"/>
      <c r="AB118" s="81"/>
      <c r="AC118" s="81"/>
      <c r="AD118" s="81"/>
      <c r="AE118" s="81"/>
      <c r="AF118" s="81"/>
      <c r="AG118" s="81"/>
      <c r="AH118" s="81"/>
      <c r="AI118" s="82"/>
      <c r="AJ118" s="82"/>
      <c r="AK118" s="82"/>
      <c r="AL118" s="82"/>
      <c r="AM118" s="82"/>
      <c r="AN118" s="82"/>
      <c r="AO118" s="82"/>
      <c r="AP118" s="82"/>
      <c r="AQ118" s="83"/>
      <c r="AR118" s="83"/>
      <c r="AS118" s="83"/>
      <c r="AT118" s="83"/>
      <c r="AU118" s="83"/>
      <c r="AV118" s="83"/>
      <c r="AW118" s="83"/>
      <c r="AX118" s="83"/>
    </row>
    <row r="119" spans="2:50" x14ac:dyDescent="0.35">
      <c r="B119" s="12" t="s">
        <v>27</v>
      </c>
      <c r="C119" s="85">
        <f>SUM(C102:C118)</f>
        <v>701.77739690400006</v>
      </c>
      <c r="D119" s="85">
        <f t="shared" ref="D119:J119" si="202">SUM(D102:D118)</f>
        <v>701.77739690400006</v>
      </c>
      <c r="E119" s="85">
        <f t="shared" si="202"/>
        <v>0</v>
      </c>
      <c r="F119" s="85">
        <f t="shared" si="202"/>
        <v>0</v>
      </c>
      <c r="G119" s="85">
        <f t="shared" si="202"/>
        <v>0</v>
      </c>
      <c r="H119" s="85">
        <f t="shared" si="202"/>
        <v>0</v>
      </c>
      <c r="I119" s="85">
        <f t="shared" si="202"/>
        <v>701.77739690400006</v>
      </c>
      <c r="J119" s="85">
        <f t="shared" si="202"/>
        <v>701.77739690400006</v>
      </c>
      <c r="K119" s="86"/>
      <c r="L119" s="86"/>
      <c r="M119" s="86"/>
      <c r="N119" s="86"/>
      <c r="O119" s="86"/>
      <c r="P119" s="86"/>
      <c r="Q119" s="86"/>
      <c r="R119" s="86"/>
      <c r="S119" s="87"/>
      <c r="T119" s="87"/>
      <c r="U119" s="87"/>
      <c r="V119" s="87"/>
      <c r="W119" s="87"/>
      <c r="X119" s="87"/>
      <c r="Y119" s="87"/>
      <c r="Z119" s="87"/>
      <c r="AA119" s="88"/>
      <c r="AB119" s="88"/>
      <c r="AC119" s="88"/>
      <c r="AD119" s="88"/>
      <c r="AE119" s="88"/>
      <c r="AF119" s="88"/>
      <c r="AG119" s="88"/>
      <c r="AH119" s="88"/>
      <c r="AI119" s="89"/>
      <c r="AJ119" s="89"/>
      <c r="AK119" s="89"/>
      <c r="AL119" s="89"/>
      <c r="AM119" s="89"/>
      <c r="AN119" s="89"/>
      <c r="AO119" s="89"/>
      <c r="AP119" s="89"/>
      <c r="AQ119" s="90"/>
      <c r="AR119" s="90"/>
      <c r="AS119" s="90"/>
      <c r="AT119" s="90"/>
      <c r="AU119" s="90"/>
      <c r="AV119" s="90"/>
      <c r="AW119" s="90"/>
      <c r="AX119" s="90"/>
    </row>
    <row r="120" spans="2:50" s="77" customFormat="1" x14ac:dyDescent="0.35">
      <c r="B120" s="70" t="s">
        <v>154</v>
      </c>
      <c r="C120" s="71"/>
      <c r="D120" s="71"/>
      <c r="E120" s="71"/>
      <c r="F120" s="71"/>
      <c r="G120" s="71"/>
      <c r="H120" s="71"/>
      <c r="I120" s="71"/>
      <c r="J120" s="71"/>
      <c r="K120" s="72"/>
      <c r="L120" s="72"/>
      <c r="M120" s="72"/>
      <c r="N120" s="72"/>
      <c r="O120" s="72"/>
      <c r="P120" s="72"/>
      <c r="Q120" s="72"/>
      <c r="R120" s="72"/>
      <c r="S120" s="73"/>
      <c r="T120" s="73"/>
      <c r="U120" s="73"/>
      <c r="V120" s="73"/>
      <c r="W120" s="73"/>
      <c r="X120" s="73"/>
      <c r="Y120" s="73"/>
      <c r="Z120" s="73"/>
      <c r="AA120" s="74"/>
      <c r="AB120" s="74"/>
      <c r="AC120" s="74"/>
      <c r="AD120" s="74"/>
      <c r="AE120" s="74"/>
      <c r="AF120" s="74"/>
      <c r="AG120" s="74"/>
      <c r="AH120" s="74"/>
      <c r="AI120" s="75"/>
      <c r="AJ120" s="75"/>
      <c r="AK120" s="75"/>
      <c r="AL120" s="75"/>
      <c r="AM120" s="75"/>
      <c r="AN120" s="75"/>
      <c r="AO120" s="75"/>
      <c r="AP120" s="75"/>
      <c r="AQ120" s="76"/>
      <c r="AR120" s="76"/>
      <c r="AS120" s="76"/>
      <c r="AT120" s="76"/>
      <c r="AU120" s="76"/>
      <c r="AV120" s="76"/>
      <c r="AW120" s="76"/>
      <c r="AX120" s="76"/>
    </row>
    <row r="121" spans="2:50" x14ac:dyDescent="0.35">
      <c r="B121" s="7" t="s">
        <v>133</v>
      </c>
      <c r="C121" s="78">
        <v>55.16</v>
      </c>
      <c r="D121" s="78">
        <v>55.16</v>
      </c>
      <c r="E121" s="78">
        <v>0</v>
      </c>
      <c r="F121" s="78">
        <f>IFERROR(E121/E$138*F$138,0)</f>
        <v>0</v>
      </c>
      <c r="G121" s="78">
        <v>0</v>
      </c>
      <c r="H121" s="78">
        <f>G121</f>
        <v>0</v>
      </c>
      <c r="I121" s="78">
        <f>C121+E121-G121</f>
        <v>55.16</v>
      </c>
      <c r="J121" s="78">
        <f t="shared" ref="J121:J137" si="203">D121+F121-H121</f>
        <v>55.16</v>
      </c>
      <c r="K121" s="79">
        <f>I121</f>
        <v>55.16</v>
      </c>
      <c r="L121" s="79">
        <f t="shared" ref="L121:L137" si="204">J121</f>
        <v>55.16</v>
      </c>
      <c r="M121" s="79">
        <v>0</v>
      </c>
      <c r="N121" s="79">
        <f>IFERROR(M121/M$138*N$138,0)</f>
        <v>0</v>
      </c>
      <c r="O121" s="79">
        <v>0</v>
      </c>
      <c r="P121" s="79">
        <f>O121</f>
        <v>0</v>
      </c>
      <c r="Q121" s="79">
        <f>K121+M121-O121</f>
        <v>55.16</v>
      </c>
      <c r="R121" s="79">
        <f t="shared" ref="R121:R137" si="205">L121+N121-P121</f>
        <v>55.16</v>
      </c>
      <c r="S121" s="80">
        <f>Q121</f>
        <v>55.16</v>
      </c>
      <c r="T121" s="80">
        <f t="shared" ref="T121:T137" si="206">R121</f>
        <v>55.16</v>
      </c>
      <c r="U121" s="80">
        <v>0</v>
      </c>
      <c r="V121" s="80">
        <f>IFERROR(U121/U$138*V$138,0)</f>
        <v>0</v>
      </c>
      <c r="W121" s="80">
        <v>0</v>
      </c>
      <c r="X121" s="80">
        <f>W121</f>
        <v>0</v>
      </c>
      <c r="Y121" s="80">
        <f>S121+U121-W121</f>
        <v>55.16</v>
      </c>
      <c r="Z121" s="80">
        <f t="shared" ref="Z121:Z137" si="207">T121+V121-X121</f>
        <v>55.16</v>
      </c>
      <c r="AA121" s="81">
        <f>Y121</f>
        <v>55.16</v>
      </c>
      <c r="AB121" s="81">
        <f t="shared" ref="AB121:AB137" si="208">Z121</f>
        <v>55.16</v>
      </c>
      <c r="AC121" s="81">
        <v>0</v>
      </c>
      <c r="AD121" s="81">
        <f>IFERROR(AC121/AC$138*AD$138,0)</f>
        <v>0</v>
      </c>
      <c r="AE121" s="81">
        <v>0</v>
      </c>
      <c r="AF121" s="81">
        <f>AE121</f>
        <v>0</v>
      </c>
      <c r="AG121" s="81">
        <f>AA121+AC121-AE121</f>
        <v>55.16</v>
      </c>
      <c r="AH121" s="81">
        <f t="shared" ref="AH121:AH137" si="209">AB121+AD121-AF121</f>
        <v>55.16</v>
      </c>
      <c r="AI121" s="82">
        <f>AG121</f>
        <v>55.16</v>
      </c>
      <c r="AJ121" s="82">
        <f t="shared" ref="AJ121:AJ137" si="210">AH121</f>
        <v>55.16</v>
      </c>
      <c r="AK121" s="82">
        <v>0</v>
      </c>
      <c r="AL121" s="82">
        <f>IFERROR(AK121/AK$138*AL$138,0)</f>
        <v>0</v>
      </c>
      <c r="AM121" s="82">
        <v>0</v>
      </c>
      <c r="AN121" s="82">
        <f>AM121</f>
        <v>0</v>
      </c>
      <c r="AO121" s="82">
        <f>AI121+AK121-AM121</f>
        <v>55.16</v>
      </c>
      <c r="AP121" s="82">
        <f t="shared" ref="AP121:AP137" si="211">AJ121+AL121-AN121</f>
        <v>55.16</v>
      </c>
      <c r="AQ121" s="83">
        <f>AO121</f>
        <v>55.16</v>
      </c>
      <c r="AR121" s="83">
        <f t="shared" ref="AR121:AR137" si="212">AP121</f>
        <v>55.16</v>
      </c>
      <c r="AS121" s="83">
        <v>0</v>
      </c>
      <c r="AT121" s="83">
        <f>IFERROR(AS121/AS$138*AT$138,0)</f>
        <v>0</v>
      </c>
      <c r="AU121" s="83">
        <v>0</v>
      </c>
      <c r="AV121" s="83">
        <f>AU121</f>
        <v>0</v>
      </c>
      <c r="AW121" s="83">
        <f>AQ121+AS121-AU121</f>
        <v>55.16</v>
      </c>
      <c r="AX121" s="83">
        <f t="shared" ref="AX121:AX137" si="213">AR121+AT121-AV121</f>
        <v>55.16</v>
      </c>
    </row>
    <row r="122" spans="2:50" x14ac:dyDescent="0.35">
      <c r="B122" s="7" t="s">
        <v>134</v>
      </c>
      <c r="C122" s="78">
        <v>72.7991016</v>
      </c>
      <c r="D122" s="78">
        <v>72.7991016</v>
      </c>
      <c r="E122" s="78">
        <v>0</v>
      </c>
      <c r="F122" s="78">
        <f t="shared" ref="F122:F137" si="214">IFERROR(E122/E$138*F$138,0)</f>
        <v>0</v>
      </c>
      <c r="G122" s="78">
        <v>0</v>
      </c>
      <c r="H122" s="78">
        <f t="shared" ref="H122:H137" si="215">G122</f>
        <v>0</v>
      </c>
      <c r="I122" s="78">
        <f t="shared" ref="I122:I137" si="216">C122+E122-G122</f>
        <v>72.7991016</v>
      </c>
      <c r="J122" s="78">
        <f t="shared" si="203"/>
        <v>72.7991016</v>
      </c>
      <c r="K122" s="79">
        <f t="shared" ref="K122:K137" si="217">I122</f>
        <v>72.7991016</v>
      </c>
      <c r="L122" s="79">
        <f t="shared" si="204"/>
        <v>72.7991016</v>
      </c>
      <c r="M122" s="79">
        <v>0</v>
      </c>
      <c r="N122" s="79">
        <f t="shared" ref="N122:N137" si="218">IFERROR(M122/M$138*N$138,0)</f>
        <v>0</v>
      </c>
      <c r="O122" s="79">
        <v>0</v>
      </c>
      <c r="P122" s="79">
        <f t="shared" ref="P122:P137" si="219">O122</f>
        <v>0</v>
      </c>
      <c r="Q122" s="79">
        <f t="shared" ref="Q122:Q137" si="220">K122+M122-O122</f>
        <v>72.7991016</v>
      </c>
      <c r="R122" s="79">
        <f t="shared" si="205"/>
        <v>72.7991016</v>
      </c>
      <c r="S122" s="80">
        <f t="shared" ref="S122:S137" si="221">Q122</f>
        <v>72.7991016</v>
      </c>
      <c r="T122" s="80">
        <f t="shared" si="206"/>
        <v>72.7991016</v>
      </c>
      <c r="U122" s="80">
        <v>0</v>
      </c>
      <c r="V122" s="80">
        <f t="shared" ref="V122:V137" si="222">IFERROR(U122/U$138*V$138,0)</f>
        <v>0</v>
      </c>
      <c r="W122" s="80">
        <v>0</v>
      </c>
      <c r="X122" s="80">
        <f t="shared" ref="X122:X137" si="223">W122</f>
        <v>0</v>
      </c>
      <c r="Y122" s="80">
        <f t="shared" ref="Y122:Y137" si="224">S122+U122-W122</f>
        <v>72.7991016</v>
      </c>
      <c r="Z122" s="80">
        <f t="shared" si="207"/>
        <v>72.7991016</v>
      </c>
      <c r="AA122" s="81">
        <f t="shared" ref="AA122:AA137" si="225">Y122</f>
        <v>72.7991016</v>
      </c>
      <c r="AB122" s="81">
        <f t="shared" si="208"/>
        <v>72.7991016</v>
      </c>
      <c r="AC122" s="81">
        <v>0</v>
      </c>
      <c r="AD122" s="81">
        <f t="shared" ref="AD122:AD137" si="226">IFERROR(AC122/AC$138*AD$138,0)</f>
        <v>0</v>
      </c>
      <c r="AE122" s="81">
        <v>0</v>
      </c>
      <c r="AF122" s="81">
        <f t="shared" ref="AF122:AF137" si="227">AE122</f>
        <v>0</v>
      </c>
      <c r="AG122" s="81">
        <f t="shared" ref="AG122:AG137" si="228">AA122+AC122-AE122</f>
        <v>72.7991016</v>
      </c>
      <c r="AH122" s="81">
        <f t="shared" si="209"/>
        <v>72.7991016</v>
      </c>
      <c r="AI122" s="82">
        <f t="shared" ref="AI122:AI137" si="229">AG122</f>
        <v>72.7991016</v>
      </c>
      <c r="AJ122" s="82">
        <f t="shared" si="210"/>
        <v>72.7991016</v>
      </c>
      <c r="AK122" s="82">
        <v>0</v>
      </c>
      <c r="AL122" s="82">
        <f t="shared" ref="AL122:AL137" si="230">IFERROR(AK122/AK$138*AL$138,0)</f>
        <v>0</v>
      </c>
      <c r="AM122" s="82">
        <v>0</v>
      </c>
      <c r="AN122" s="82">
        <f t="shared" ref="AN122:AN137" si="231">AM122</f>
        <v>0</v>
      </c>
      <c r="AO122" s="82">
        <f t="shared" ref="AO122:AO137" si="232">AI122+AK122-AM122</f>
        <v>72.7991016</v>
      </c>
      <c r="AP122" s="82">
        <f t="shared" si="211"/>
        <v>72.7991016</v>
      </c>
      <c r="AQ122" s="83">
        <f t="shared" ref="AQ122:AQ137" si="233">AO122</f>
        <v>72.7991016</v>
      </c>
      <c r="AR122" s="83">
        <f t="shared" si="212"/>
        <v>72.7991016</v>
      </c>
      <c r="AS122" s="83">
        <v>0</v>
      </c>
      <c r="AT122" s="83">
        <f t="shared" ref="AT122:AT137" si="234">IFERROR(AS122/AS$138*AT$138,0)</f>
        <v>0</v>
      </c>
      <c r="AU122" s="83">
        <v>0</v>
      </c>
      <c r="AV122" s="83">
        <f t="shared" ref="AV122:AV137" si="235">AU122</f>
        <v>0</v>
      </c>
      <c r="AW122" s="83">
        <f t="shared" ref="AW122:AW137" si="236">AQ122+AS122-AU122</f>
        <v>72.7991016</v>
      </c>
      <c r="AX122" s="83">
        <f t="shared" si="213"/>
        <v>72.7991016</v>
      </c>
    </row>
    <row r="123" spans="2:50" ht="31" x14ac:dyDescent="0.35">
      <c r="B123" s="84" t="s">
        <v>135</v>
      </c>
      <c r="C123" s="78">
        <v>0</v>
      </c>
      <c r="D123" s="78">
        <v>0</v>
      </c>
      <c r="E123" s="78">
        <v>0</v>
      </c>
      <c r="F123" s="78">
        <f t="shared" si="214"/>
        <v>0</v>
      </c>
      <c r="G123" s="78">
        <v>0</v>
      </c>
      <c r="H123" s="78">
        <f t="shared" si="215"/>
        <v>0</v>
      </c>
      <c r="I123" s="78">
        <f t="shared" si="216"/>
        <v>0</v>
      </c>
      <c r="J123" s="78">
        <f t="shared" si="203"/>
        <v>0</v>
      </c>
      <c r="K123" s="79">
        <f t="shared" si="217"/>
        <v>0</v>
      </c>
      <c r="L123" s="79">
        <f t="shared" si="204"/>
        <v>0</v>
      </c>
      <c r="M123" s="79">
        <v>0</v>
      </c>
      <c r="N123" s="79">
        <f t="shared" si="218"/>
        <v>0</v>
      </c>
      <c r="O123" s="79">
        <v>0</v>
      </c>
      <c r="P123" s="79">
        <f t="shared" si="219"/>
        <v>0</v>
      </c>
      <c r="Q123" s="79">
        <f t="shared" si="220"/>
        <v>0</v>
      </c>
      <c r="R123" s="79">
        <f t="shared" si="205"/>
        <v>0</v>
      </c>
      <c r="S123" s="80">
        <f t="shared" si="221"/>
        <v>0</v>
      </c>
      <c r="T123" s="80">
        <f t="shared" si="206"/>
        <v>0</v>
      </c>
      <c r="U123" s="80">
        <v>0</v>
      </c>
      <c r="V123" s="80">
        <f t="shared" si="222"/>
        <v>0</v>
      </c>
      <c r="W123" s="80">
        <v>0</v>
      </c>
      <c r="X123" s="80">
        <f t="shared" si="223"/>
        <v>0</v>
      </c>
      <c r="Y123" s="80">
        <f t="shared" si="224"/>
        <v>0</v>
      </c>
      <c r="Z123" s="80">
        <f t="shared" si="207"/>
        <v>0</v>
      </c>
      <c r="AA123" s="81">
        <f t="shared" si="225"/>
        <v>0</v>
      </c>
      <c r="AB123" s="81">
        <f t="shared" si="208"/>
        <v>0</v>
      </c>
      <c r="AC123" s="81">
        <v>0</v>
      </c>
      <c r="AD123" s="81">
        <f t="shared" si="226"/>
        <v>0</v>
      </c>
      <c r="AE123" s="81">
        <v>0</v>
      </c>
      <c r="AF123" s="81">
        <f t="shared" si="227"/>
        <v>0</v>
      </c>
      <c r="AG123" s="81">
        <f t="shared" si="228"/>
        <v>0</v>
      </c>
      <c r="AH123" s="81">
        <f t="shared" si="209"/>
        <v>0</v>
      </c>
      <c r="AI123" s="82">
        <f t="shared" si="229"/>
        <v>0</v>
      </c>
      <c r="AJ123" s="82">
        <f t="shared" si="210"/>
        <v>0</v>
      </c>
      <c r="AK123" s="82">
        <v>0</v>
      </c>
      <c r="AL123" s="82">
        <f t="shared" si="230"/>
        <v>0</v>
      </c>
      <c r="AM123" s="82">
        <v>0</v>
      </c>
      <c r="AN123" s="82">
        <f t="shared" si="231"/>
        <v>0</v>
      </c>
      <c r="AO123" s="82">
        <f t="shared" si="232"/>
        <v>0</v>
      </c>
      <c r="AP123" s="82">
        <f t="shared" si="211"/>
        <v>0</v>
      </c>
      <c r="AQ123" s="83">
        <f t="shared" si="233"/>
        <v>0</v>
      </c>
      <c r="AR123" s="83">
        <f t="shared" si="212"/>
        <v>0</v>
      </c>
      <c r="AS123" s="83">
        <v>0</v>
      </c>
      <c r="AT123" s="83">
        <f t="shared" si="234"/>
        <v>0</v>
      </c>
      <c r="AU123" s="83">
        <v>0</v>
      </c>
      <c r="AV123" s="83">
        <f t="shared" si="235"/>
        <v>0</v>
      </c>
      <c r="AW123" s="83">
        <f t="shared" si="236"/>
        <v>0</v>
      </c>
      <c r="AX123" s="83">
        <f t="shared" si="213"/>
        <v>0</v>
      </c>
    </row>
    <row r="124" spans="2:50" x14ac:dyDescent="0.35">
      <c r="B124" s="7" t="s">
        <v>136</v>
      </c>
      <c r="C124" s="78">
        <v>2.1082497000000004</v>
      </c>
      <c r="D124" s="78">
        <v>2.1082497000000004</v>
      </c>
      <c r="E124" s="78">
        <v>0</v>
      </c>
      <c r="F124" s="78">
        <f t="shared" si="214"/>
        <v>0</v>
      </c>
      <c r="G124" s="78">
        <v>0</v>
      </c>
      <c r="H124" s="78">
        <f t="shared" si="215"/>
        <v>0</v>
      </c>
      <c r="I124" s="78">
        <f t="shared" si="216"/>
        <v>2.1082497000000004</v>
      </c>
      <c r="J124" s="78">
        <f t="shared" si="203"/>
        <v>2.1082497000000004</v>
      </c>
      <c r="K124" s="79">
        <f t="shared" si="217"/>
        <v>2.1082497000000004</v>
      </c>
      <c r="L124" s="79">
        <f t="shared" si="204"/>
        <v>2.1082497000000004</v>
      </c>
      <c r="M124" s="79">
        <v>0</v>
      </c>
      <c r="N124" s="79">
        <f t="shared" si="218"/>
        <v>0</v>
      </c>
      <c r="O124" s="79">
        <v>0</v>
      </c>
      <c r="P124" s="79">
        <f t="shared" si="219"/>
        <v>0</v>
      </c>
      <c r="Q124" s="79">
        <f t="shared" si="220"/>
        <v>2.1082497000000004</v>
      </c>
      <c r="R124" s="79">
        <f t="shared" si="205"/>
        <v>2.1082497000000004</v>
      </c>
      <c r="S124" s="80">
        <f t="shared" si="221"/>
        <v>2.1082497000000004</v>
      </c>
      <c r="T124" s="80">
        <f t="shared" si="206"/>
        <v>2.1082497000000004</v>
      </c>
      <c r="U124" s="80">
        <v>0</v>
      </c>
      <c r="V124" s="80">
        <f t="shared" si="222"/>
        <v>0</v>
      </c>
      <c r="W124" s="80">
        <v>0</v>
      </c>
      <c r="X124" s="80">
        <f t="shared" si="223"/>
        <v>0</v>
      </c>
      <c r="Y124" s="80">
        <f t="shared" si="224"/>
        <v>2.1082497000000004</v>
      </c>
      <c r="Z124" s="80">
        <f t="shared" si="207"/>
        <v>2.1082497000000004</v>
      </c>
      <c r="AA124" s="81">
        <f t="shared" si="225"/>
        <v>2.1082497000000004</v>
      </c>
      <c r="AB124" s="81">
        <f t="shared" si="208"/>
        <v>2.1082497000000004</v>
      </c>
      <c r="AC124" s="81">
        <v>0</v>
      </c>
      <c r="AD124" s="81">
        <f t="shared" si="226"/>
        <v>0</v>
      </c>
      <c r="AE124" s="81">
        <v>0</v>
      </c>
      <c r="AF124" s="81">
        <f t="shared" si="227"/>
        <v>0</v>
      </c>
      <c r="AG124" s="81">
        <f t="shared" si="228"/>
        <v>2.1082497000000004</v>
      </c>
      <c r="AH124" s="81">
        <f t="shared" si="209"/>
        <v>2.1082497000000004</v>
      </c>
      <c r="AI124" s="82">
        <f t="shared" si="229"/>
        <v>2.1082497000000004</v>
      </c>
      <c r="AJ124" s="82">
        <f t="shared" si="210"/>
        <v>2.1082497000000004</v>
      </c>
      <c r="AK124" s="82">
        <v>0</v>
      </c>
      <c r="AL124" s="82">
        <f t="shared" si="230"/>
        <v>0</v>
      </c>
      <c r="AM124" s="82">
        <v>0</v>
      </c>
      <c r="AN124" s="82">
        <f t="shared" si="231"/>
        <v>0</v>
      </c>
      <c r="AO124" s="82">
        <f t="shared" si="232"/>
        <v>2.1082497000000004</v>
      </c>
      <c r="AP124" s="82">
        <f t="shared" si="211"/>
        <v>2.1082497000000004</v>
      </c>
      <c r="AQ124" s="83">
        <f t="shared" si="233"/>
        <v>2.1082497000000004</v>
      </c>
      <c r="AR124" s="83">
        <f t="shared" si="212"/>
        <v>2.1082497000000004</v>
      </c>
      <c r="AS124" s="83">
        <v>0</v>
      </c>
      <c r="AT124" s="83">
        <f t="shared" si="234"/>
        <v>0</v>
      </c>
      <c r="AU124" s="83">
        <v>0</v>
      </c>
      <c r="AV124" s="83">
        <f t="shared" si="235"/>
        <v>0</v>
      </c>
      <c r="AW124" s="83">
        <f t="shared" si="236"/>
        <v>2.1082497000000004</v>
      </c>
      <c r="AX124" s="83">
        <f t="shared" si="213"/>
        <v>2.1082497000000004</v>
      </c>
    </row>
    <row r="125" spans="2:50" x14ac:dyDescent="0.35">
      <c r="B125" s="7" t="s">
        <v>137</v>
      </c>
      <c r="C125" s="78">
        <v>21.239980064000001</v>
      </c>
      <c r="D125" s="78">
        <v>21.239980064000001</v>
      </c>
      <c r="E125" s="78">
        <v>0.13698650000000001</v>
      </c>
      <c r="F125" s="78">
        <f t="shared" si="214"/>
        <v>0.13698650423030875</v>
      </c>
      <c r="G125" s="78">
        <v>0</v>
      </c>
      <c r="H125" s="78">
        <f t="shared" si="215"/>
        <v>0</v>
      </c>
      <c r="I125" s="78">
        <f t="shared" si="216"/>
        <v>21.376966564</v>
      </c>
      <c r="J125" s="78">
        <f t="shared" si="203"/>
        <v>21.376966568230308</v>
      </c>
      <c r="K125" s="79">
        <f t="shared" si="217"/>
        <v>21.376966564</v>
      </c>
      <c r="L125" s="79">
        <f t="shared" si="204"/>
        <v>21.376966568230308</v>
      </c>
      <c r="M125" s="79">
        <v>0</v>
      </c>
      <c r="N125" s="79">
        <f t="shared" si="218"/>
        <v>0</v>
      </c>
      <c r="O125" s="79">
        <v>0</v>
      </c>
      <c r="P125" s="79">
        <f t="shared" si="219"/>
        <v>0</v>
      </c>
      <c r="Q125" s="79">
        <f t="shared" si="220"/>
        <v>21.376966564</v>
      </c>
      <c r="R125" s="79">
        <f t="shared" si="205"/>
        <v>21.376966568230308</v>
      </c>
      <c r="S125" s="80">
        <f t="shared" si="221"/>
        <v>21.376966564</v>
      </c>
      <c r="T125" s="80">
        <f t="shared" si="206"/>
        <v>21.376966568230308</v>
      </c>
      <c r="U125" s="80">
        <v>0</v>
      </c>
      <c r="V125" s="80">
        <f t="shared" si="222"/>
        <v>0</v>
      </c>
      <c r="W125" s="80">
        <v>0</v>
      </c>
      <c r="X125" s="80">
        <f t="shared" si="223"/>
        <v>0</v>
      </c>
      <c r="Y125" s="80">
        <f t="shared" si="224"/>
        <v>21.376966564</v>
      </c>
      <c r="Z125" s="80">
        <f t="shared" si="207"/>
        <v>21.376966568230308</v>
      </c>
      <c r="AA125" s="81">
        <f t="shared" si="225"/>
        <v>21.376966564</v>
      </c>
      <c r="AB125" s="81">
        <f t="shared" si="208"/>
        <v>21.376966568230308</v>
      </c>
      <c r="AC125" s="81">
        <v>0</v>
      </c>
      <c r="AD125" s="81">
        <f t="shared" si="226"/>
        <v>0</v>
      </c>
      <c r="AE125" s="81">
        <v>0</v>
      </c>
      <c r="AF125" s="81">
        <f t="shared" si="227"/>
        <v>0</v>
      </c>
      <c r="AG125" s="81">
        <f t="shared" si="228"/>
        <v>21.376966564</v>
      </c>
      <c r="AH125" s="81">
        <f t="shared" si="209"/>
        <v>21.376966568230308</v>
      </c>
      <c r="AI125" s="82">
        <f t="shared" si="229"/>
        <v>21.376966564</v>
      </c>
      <c r="AJ125" s="82">
        <f t="shared" si="210"/>
        <v>21.376966568230308</v>
      </c>
      <c r="AK125" s="82">
        <v>0</v>
      </c>
      <c r="AL125" s="82">
        <f t="shared" si="230"/>
        <v>0</v>
      </c>
      <c r="AM125" s="82">
        <v>0</v>
      </c>
      <c r="AN125" s="82">
        <f t="shared" si="231"/>
        <v>0</v>
      </c>
      <c r="AO125" s="82">
        <f t="shared" si="232"/>
        <v>21.376966564</v>
      </c>
      <c r="AP125" s="82">
        <f t="shared" si="211"/>
        <v>21.376966568230308</v>
      </c>
      <c r="AQ125" s="83">
        <f t="shared" si="233"/>
        <v>21.376966564</v>
      </c>
      <c r="AR125" s="83">
        <f t="shared" si="212"/>
        <v>21.376966568230308</v>
      </c>
      <c r="AS125" s="83">
        <v>0</v>
      </c>
      <c r="AT125" s="83">
        <f t="shared" si="234"/>
        <v>0</v>
      </c>
      <c r="AU125" s="83">
        <v>0</v>
      </c>
      <c r="AV125" s="83">
        <f t="shared" si="235"/>
        <v>0</v>
      </c>
      <c r="AW125" s="83">
        <f t="shared" si="236"/>
        <v>21.376966564</v>
      </c>
      <c r="AX125" s="83">
        <f t="shared" si="213"/>
        <v>21.376966568230308</v>
      </c>
    </row>
    <row r="126" spans="2:50" x14ac:dyDescent="0.35">
      <c r="B126" s="7" t="s">
        <v>138</v>
      </c>
      <c r="C126" s="78">
        <v>1541.9133028477711</v>
      </c>
      <c r="D126" s="78">
        <v>1541.9133028477711</v>
      </c>
      <c r="E126" s="78">
        <v>0.30988339999999998</v>
      </c>
      <c r="F126" s="78">
        <f t="shared" si="214"/>
        <v>0.30988340956957405</v>
      </c>
      <c r="G126" s="78">
        <v>0.29585420000000001</v>
      </c>
      <c r="H126" s="78">
        <f t="shared" si="215"/>
        <v>0.29585420000000001</v>
      </c>
      <c r="I126" s="78">
        <f t="shared" si="216"/>
        <v>1541.9273320477712</v>
      </c>
      <c r="J126" s="78">
        <f t="shared" si="203"/>
        <v>1541.9273320573407</v>
      </c>
      <c r="K126" s="79">
        <f t="shared" si="217"/>
        <v>1541.9273320477712</v>
      </c>
      <c r="L126" s="79">
        <f t="shared" si="204"/>
        <v>1541.9273320573407</v>
      </c>
      <c r="M126" s="79">
        <v>7.6992064489999992</v>
      </c>
      <c r="N126" s="79">
        <f t="shared" si="218"/>
        <v>7.6977893198095941</v>
      </c>
      <c r="O126" s="79">
        <v>0</v>
      </c>
      <c r="P126" s="79">
        <f t="shared" si="219"/>
        <v>0</v>
      </c>
      <c r="Q126" s="79">
        <f t="shared" si="220"/>
        <v>1549.6265384967712</v>
      </c>
      <c r="R126" s="79">
        <f t="shared" si="205"/>
        <v>1549.6251213771502</v>
      </c>
      <c r="S126" s="80">
        <f t="shared" si="221"/>
        <v>1549.6265384967712</v>
      </c>
      <c r="T126" s="80">
        <f t="shared" si="206"/>
        <v>1549.6251213771502</v>
      </c>
      <c r="U126" s="80">
        <v>0</v>
      </c>
      <c r="V126" s="80">
        <f t="shared" si="222"/>
        <v>0</v>
      </c>
      <c r="W126" s="80">
        <v>0</v>
      </c>
      <c r="X126" s="80">
        <f t="shared" si="223"/>
        <v>0</v>
      </c>
      <c r="Y126" s="80">
        <f t="shared" si="224"/>
        <v>1549.6265384967712</v>
      </c>
      <c r="Z126" s="80">
        <f t="shared" si="207"/>
        <v>1549.6251213771502</v>
      </c>
      <c r="AA126" s="81">
        <f t="shared" si="225"/>
        <v>1549.6265384967712</v>
      </c>
      <c r="AB126" s="81">
        <f t="shared" si="208"/>
        <v>1549.6251213771502</v>
      </c>
      <c r="AC126" s="81">
        <v>34.549999999999997</v>
      </c>
      <c r="AD126" s="81">
        <f t="shared" si="226"/>
        <v>34.549999999999997</v>
      </c>
      <c r="AE126" s="81">
        <v>0</v>
      </c>
      <c r="AF126" s="81">
        <f t="shared" si="227"/>
        <v>0</v>
      </c>
      <c r="AG126" s="81">
        <f t="shared" si="228"/>
        <v>1584.1765384967712</v>
      </c>
      <c r="AH126" s="81">
        <f t="shared" si="209"/>
        <v>1584.1751213771502</v>
      </c>
      <c r="AI126" s="82">
        <f t="shared" si="229"/>
        <v>1584.1765384967712</v>
      </c>
      <c r="AJ126" s="82">
        <f t="shared" si="210"/>
        <v>1584.1751213771502</v>
      </c>
      <c r="AK126" s="82">
        <v>114.04</v>
      </c>
      <c r="AL126" s="82">
        <f t="shared" si="230"/>
        <v>114.04999999999998</v>
      </c>
      <c r="AM126" s="82">
        <v>0</v>
      </c>
      <c r="AN126" s="82">
        <f t="shared" si="231"/>
        <v>0</v>
      </c>
      <c r="AO126" s="82">
        <f t="shared" si="232"/>
        <v>1698.2165384967711</v>
      </c>
      <c r="AP126" s="82">
        <f t="shared" si="211"/>
        <v>1698.2251213771501</v>
      </c>
      <c r="AQ126" s="83">
        <f t="shared" si="233"/>
        <v>1698.2165384967711</v>
      </c>
      <c r="AR126" s="83">
        <f t="shared" si="212"/>
        <v>1698.2251213771501</v>
      </c>
      <c r="AS126" s="83">
        <v>25.67</v>
      </c>
      <c r="AT126" s="83">
        <f t="shared" si="234"/>
        <v>8.5</v>
      </c>
      <c r="AU126" s="83">
        <v>0</v>
      </c>
      <c r="AV126" s="83">
        <f t="shared" si="235"/>
        <v>0</v>
      </c>
      <c r="AW126" s="83">
        <f t="shared" si="236"/>
        <v>1723.8865384967712</v>
      </c>
      <c r="AX126" s="83">
        <f t="shared" si="213"/>
        <v>1706.7251213771501</v>
      </c>
    </row>
    <row r="127" spans="2:50" x14ac:dyDescent="0.35">
      <c r="B127" s="7" t="s">
        <v>139</v>
      </c>
      <c r="C127" s="78">
        <v>0</v>
      </c>
      <c r="D127" s="78">
        <v>0</v>
      </c>
      <c r="E127" s="78">
        <v>0</v>
      </c>
      <c r="F127" s="78">
        <f t="shared" si="214"/>
        <v>0</v>
      </c>
      <c r="G127" s="78">
        <v>0</v>
      </c>
      <c r="H127" s="78">
        <f t="shared" si="215"/>
        <v>0</v>
      </c>
      <c r="I127" s="78">
        <f t="shared" si="216"/>
        <v>0</v>
      </c>
      <c r="J127" s="78">
        <f t="shared" si="203"/>
        <v>0</v>
      </c>
      <c r="K127" s="79">
        <f t="shared" si="217"/>
        <v>0</v>
      </c>
      <c r="L127" s="79">
        <f t="shared" si="204"/>
        <v>0</v>
      </c>
      <c r="M127" s="79">
        <v>0</v>
      </c>
      <c r="N127" s="79">
        <f t="shared" si="218"/>
        <v>0</v>
      </c>
      <c r="O127" s="79">
        <v>0</v>
      </c>
      <c r="P127" s="79">
        <f t="shared" si="219"/>
        <v>0</v>
      </c>
      <c r="Q127" s="79">
        <f t="shared" si="220"/>
        <v>0</v>
      </c>
      <c r="R127" s="79">
        <f t="shared" si="205"/>
        <v>0</v>
      </c>
      <c r="S127" s="80">
        <f t="shared" si="221"/>
        <v>0</v>
      </c>
      <c r="T127" s="80">
        <f t="shared" si="206"/>
        <v>0</v>
      </c>
      <c r="U127" s="80">
        <v>0</v>
      </c>
      <c r="V127" s="80">
        <f t="shared" si="222"/>
        <v>0</v>
      </c>
      <c r="W127" s="80">
        <v>0</v>
      </c>
      <c r="X127" s="80">
        <f t="shared" si="223"/>
        <v>0</v>
      </c>
      <c r="Y127" s="80">
        <f t="shared" si="224"/>
        <v>0</v>
      </c>
      <c r="Z127" s="80">
        <f t="shared" si="207"/>
        <v>0</v>
      </c>
      <c r="AA127" s="81">
        <f t="shared" si="225"/>
        <v>0</v>
      </c>
      <c r="AB127" s="81">
        <f t="shared" si="208"/>
        <v>0</v>
      </c>
      <c r="AC127" s="81">
        <v>0</v>
      </c>
      <c r="AD127" s="81">
        <f t="shared" si="226"/>
        <v>0</v>
      </c>
      <c r="AE127" s="81">
        <v>0</v>
      </c>
      <c r="AF127" s="81">
        <f t="shared" si="227"/>
        <v>0</v>
      </c>
      <c r="AG127" s="81">
        <f t="shared" si="228"/>
        <v>0</v>
      </c>
      <c r="AH127" s="81">
        <f t="shared" si="209"/>
        <v>0</v>
      </c>
      <c r="AI127" s="82">
        <f t="shared" si="229"/>
        <v>0</v>
      </c>
      <c r="AJ127" s="82">
        <f t="shared" si="210"/>
        <v>0</v>
      </c>
      <c r="AK127" s="82">
        <v>0</v>
      </c>
      <c r="AL127" s="82">
        <f t="shared" si="230"/>
        <v>0</v>
      </c>
      <c r="AM127" s="82">
        <v>0</v>
      </c>
      <c r="AN127" s="82">
        <f t="shared" si="231"/>
        <v>0</v>
      </c>
      <c r="AO127" s="82">
        <f t="shared" si="232"/>
        <v>0</v>
      </c>
      <c r="AP127" s="82">
        <f t="shared" si="211"/>
        <v>0</v>
      </c>
      <c r="AQ127" s="83">
        <f t="shared" si="233"/>
        <v>0</v>
      </c>
      <c r="AR127" s="83">
        <f t="shared" si="212"/>
        <v>0</v>
      </c>
      <c r="AS127" s="83">
        <v>0</v>
      </c>
      <c r="AT127" s="83">
        <f t="shared" si="234"/>
        <v>0</v>
      </c>
      <c r="AU127" s="83">
        <v>0</v>
      </c>
      <c r="AV127" s="83">
        <f t="shared" si="235"/>
        <v>0</v>
      </c>
      <c r="AW127" s="83">
        <f t="shared" si="236"/>
        <v>0</v>
      </c>
      <c r="AX127" s="83">
        <f t="shared" si="213"/>
        <v>0</v>
      </c>
    </row>
    <row r="128" spans="2:50" x14ac:dyDescent="0.35">
      <c r="B128" s="7" t="s">
        <v>140</v>
      </c>
      <c r="C128" s="78">
        <v>0</v>
      </c>
      <c r="D128" s="78">
        <v>0</v>
      </c>
      <c r="E128" s="78">
        <v>0</v>
      </c>
      <c r="F128" s="78">
        <f t="shared" si="214"/>
        <v>0</v>
      </c>
      <c r="G128" s="78">
        <v>0</v>
      </c>
      <c r="H128" s="78">
        <f t="shared" si="215"/>
        <v>0</v>
      </c>
      <c r="I128" s="78">
        <f t="shared" si="216"/>
        <v>0</v>
      </c>
      <c r="J128" s="78">
        <f t="shared" si="203"/>
        <v>0</v>
      </c>
      <c r="K128" s="79">
        <f t="shared" si="217"/>
        <v>0</v>
      </c>
      <c r="L128" s="79">
        <f t="shared" si="204"/>
        <v>0</v>
      </c>
      <c r="M128" s="79">
        <v>0</v>
      </c>
      <c r="N128" s="79">
        <f t="shared" si="218"/>
        <v>0</v>
      </c>
      <c r="O128" s="79">
        <v>0</v>
      </c>
      <c r="P128" s="79">
        <f t="shared" si="219"/>
        <v>0</v>
      </c>
      <c r="Q128" s="79">
        <f t="shared" si="220"/>
        <v>0</v>
      </c>
      <c r="R128" s="79">
        <f t="shared" si="205"/>
        <v>0</v>
      </c>
      <c r="S128" s="80">
        <f t="shared" si="221"/>
        <v>0</v>
      </c>
      <c r="T128" s="80">
        <f t="shared" si="206"/>
        <v>0</v>
      </c>
      <c r="U128" s="80">
        <v>0</v>
      </c>
      <c r="V128" s="80">
        <f t="shared" si="222"/>
        <v>0</v>
      </c>
      <c r="W128" s="80">
        <v>0</v>
      </c>
      <c r="X128" s="80">
        <f t="shared" si="223"/>
        <v>0</v>
      </c>
      <c r="Y128" s="80">
        <f t="shared" si="224"/>
        <v>0</v>
      </c>
      <c r="Z128" s="80">
        <f t="shared" si="207"/>
        <v>0</v>
      </c>
      <c r="AA128" s="81">
        <f t="shared" si="225"/>
        <v>0</v>
      </c>
      <c r="AB128" s="81">
        <f t="shared" si="208"/>
        <v>0</v>
      </c>
      <c r="AC128" s="81">
        <v>0</v>
      </c>
      <c r="AD128" s="81">
        <f t="shared" si="226"/>
        <v>0</v>
      </c>
      <c r="AE128" s="81">
        <v>0</v>
      </c>
      <c r="AF128" s="81">
        <f t="shared" si="227"/>
        <v>0</v>
      </c>
      <c r="AG128" s="81">
        <f t="shared" si="228"/>
        <v>0</v>
      </c>
      <c r="AH128" s="81">
        <f t="shared" si="209"/>
        <v>0</v>
      </c>
      <c r="AI128" s="82">
        <f t="shared" si="229"/>
        <v>0</v>
      </c>
      <c r="AJ128" s="82">
        <f t="shared" si="210"/>
        <v>0</v>
      </c>
      <c r="AK128" s="82">
        <v>0</v>
      </c>
      <c r="AL128" s="82">
        <f t="shared" si="230"/>
        <v>0</v>
      </c>
      <c r="AM128" s="82">
        <v>0</v>
      </c>
      <c r="AN128" s="82">
        <f t="shared" si="231"/>
        <v>0</v>
      </c>
      <c r="AO128" s="82">
        <f t="shared" si="232"/>
        <v>0</v>
      </c>
      <c r="AP128" s="82">
        <f t="shared" si="211"/>
        <v>0</v>
      </c>
      <c r="AQ128" s="83">
        <f t="shared" si="233"/>
        <v>0</v>
      </c>
      <c r="AR128" s="83">
        <f t="shared" si="212"/>
        <v>0</v>
      </c>
      <c r="AS128" s="83">
        <v>0</v>
      </c>
      <c r="AT128" s="83">
        <f t="shared" si="234"/>
        <v>0</v>
      </c>
      <c r="AU128" s="83">
        <v>0</v>
      </c>
      <c r="AV128" s="83">
        <f t="shared" si="235"/>
        <v>0</v>
      </c>
      <c r="AW128" s="83">
        <f t="shared" si="236"/>
        <v>0</v>
      </c>
      <c r="AX128" s="83">
        <f t="shared" si="213"/>
        <v>0</v>
      </c>
    </row>
    <row r="129" spans="2:50" x14ac:dyDescent="0.35">
      <c r="B129" s="7" t="s">
        <v>141</v>
      </c>
      <c r="C129" s="78">
        <v>0.8</v>
      </c>
      <c r="D129" s="78">
        <v>0.8</v>
      </c>
      <c r="E129" s="78">
        <v>0</v>
      </c>
      <c r="F129" s="78">
        <f t="shared" si="214"/>
        <v>0</v>
      </c>
      <c r="G129" s="78">
        <v>0</v>
      </c>
      <c r="H129" s="78">
        <f t="shared" si="215"/>
        <v>0</v>
      </c>
      <c r="I129" s="78">
        <f t="shared" si="216"/>
        <v>0.8</v>
      </c>
      <c r="J129" s="78">
        <f t="shared" si="203"/>
        <v>0.8</v>
      </c>
      <c r="K129" s="79">
        <f t="shared" si="217"/>
        <v>0.8</v>
      </c>
      <c r="L129" s="79">
        <f t="shared" si="204"/>
        <v>0.8</v>
      </c>
      <c r="M129" s="79">
        <v>0</v>
      </c>
      <c r="N129" s="79">
        <f t="shared" si="218"/>
        <v>0</v>
      </c>
      <c r="O129" s="79">
        <v>0</v>
      </c>
      <c r="P129" s="79">
        <f t="shared" si="219"/>
        <v>0</v>
      </c>
      <c r="Q129" s="79">
        <f t="shared" si="220"/>
        <v>0.8</v>
      </c>
      <c r="R129" s="79">
        <f t="shared" si="205"/>
        <v>0.8</v>
      </c>
      <c r="S129" s="80">
        <f t="shared" si="221"/>
        <v>0.8</v>
      </c>
      <c r="T129" s="80">
        <f t="shared" si="206"/>
        <v>0.8</v>
      </c>
      <c r="U129" s="80">
        <v>0</v>
      </c>
      <c r="V129" s="80">
        <f t="shared" si="222"/>
        <v>0</v>
      </c>
      <c r="W129" s="80">
        <v>0</v>
      </c>
      <c r="X129" s="80">
        <f t="shared" si="223"/>
        <v>0</v>
      </c>
      <c r="Y129" s="80">
        <f t="shared" si="224"/>
        <v>0.8</v>
      </c>
      <c r="Z129" s="80">
        <f t="shared" si="207"/>
        <v>0.8</v>
      </c>
      <c r="AA129" s="81">
        <f t="shared" si="225"/>
        <v>0.8</v>
      </c>
      <c r="AB129" s="81">
        <f t="shared" si="208"/>
        <v>0.8</v>
      </c>
      <c r="AC129" s="81">
        <v>0</v>
      </c>
      <c r="AD129" s="81">
        <f t="shared" si="226"/>
        <v>0</v>
      </c>
      <c r="AE129" s="81">
        <v>0</v>
      </c>
      <c r="AF129" s="81">
        <f t="shared" si="227"/>
        <v>0</v>
      </c>
      <c r="AG129" s="81">
        <f t="shared" si="228"/>
        <v>0.8</v>
      </c>
      <c r="AH129" s="81">
        <f t="shared" si="209"/>
        <v>0.8</v>
      </c>
      <c r="AI129" s="82">
        <f t="shared" si="229"/>
        <v>0.8</v>
      </c>
      <c r="AJ129" s="82">
        <f t="shared" si="210"/>
        <v>0.8</v>
      </c>
      <c r="AK129" s="82">
        <v>0</v>
      </c>
      <c r="AL129" s="82">
        <f t="shared" si="230"/>
        <v>0</v>
      </c>
      <c r="AM129" s="82">
        <v>0</v>
      </c>
      <c r="AN129" s="82">
        <f t="shared" si="231"/>
        <v>0</v>
      </c>
      <c r="AO129" s="82">
        <f t="shared" si="232"/>
        <v>0.8</v>
      </c>
      <c r="AP129" s="82">
        <f t="shared" si="211"/>
        <v>0.8</v>
      </c>
      <c r="AQ129" s="83">
        <f t="shared" si="233"/>
        <v>0.8</v>
      </c>
      <c r="AR129" s="83">
        <f t="shared" si="212"/>
        <v>0.8</v>
      </c>
      <c r="AS129" s="83">
        <v>0</v>
      </c>
      <c r="AT129" s="83">
        <f t="shared" si="234"/>
        <v>0</v>
      </c>
      <c r="AU129" s="83">
        <v>0</v>
      </c>
      <c r="AV129" s="83">
        <f t="shared" si="235"/>
        <v>0</v>
      </c>
      <c r="AW129" s="83">
        <f t="shared" si="236"/>
        <v>0.8</v>
      </c>
      <c r="AX129" s="83">
        <f t="shared" si="213"/>
        <v>0.8</v>
      </c>
    </row>
    <row r="130" spans="2:50" x14ac:dyDescent="0.35">
      <c r="B130" s="7" t="s">
        <v>142</v>
      </c>
      <c r="C130" s="78">
        <v>0.97449094700000005</v>
      </c>
      <c r="D130" s="78">
        <v>0.97449094700000005</v>
      </c>
      <c r="E130" s="78">
        <v>0.1075448</v>
      </c>
      <c r="F130" s="78">
        <f t="shared" si="214"/>
        <v>0.10754480332111345</v>
      </c>
      <c r="G130" s="78">
        <v>2.0450800000000002E-2</v>
      </c>
      <c r="H130" s="78">
        <f t="shared" si="215"/>
        <v>2.0450800000000002E-2</v>
      </c>
      <c r="I130" s="78">
        <f t="shared" si="216"/>
        <v>1.0615849469999998</v>
      </c>
      <c r="J130" s="78">
        <f t="shared" si="203"/>
        <v>1.0615849503211134</v>
      </c>
      <c r="K130" s="79">
        <f t="shared" si="217"/>
        <v>1.0615849469999998</v>
      </c>
      <c r="L130" s="79">
        <f t="shared" si="204"/>
        <v>1.0615849503211134</v>
      </c>
      <c r="M130" s="79">
        <v>0.39219179999999998</v>
      </c>
      <c r="N130" s="79">
        <f t="shared" si="218"/>
        <v>0.39211961250227551</v>
      </c>
      <c r="O130" s="79">
        <v>0</v>
      </c>
      <c r="P130" s="79">
        <f t="shared" si="219"/>
        <v>0</v>
      </c>
      <c r="Q130" s="79">
        <f t="shared" si="220"/>
        <v>1.4537767469999998</v>
      </c>
      <c r="R130" s="79">
        <f t="shared" si="205"/>
        <v>1.4537045628233889</v>
      </c>
      <c r="S130" s="80">
        <f t="shared" si="221"/>
        <v>1.4537767469999998</v>
      </c>
      <c r="T130" s="80">
        <f t="shared" si="206"/>
        <v>1.4537045628233889</v>
      </c>
      <c r="U130" s="80">
        <v>0</v>
      </c>
      <c r="V130" s="80">
        <f t="shared" si="222"/>
        <v>0</v>
      </c>
      <c r="W130" s="80">
        <v>0</v>
      </c>
      <c r="X130" s="80">
        <f t="shared" si="223"/>
        <v>0</v>
      </c>
      <c r="Y130" s="80">
        <f t="shared" si="224"/>
        <v>1.4537767469999998</v>
      </c>
      <c r="Z130" s="80">
        <f t="shared" si="207"/>
        <v>1.4537045628233889</v>
      </c>
      <c r="AA130" s="81">
        <f t="shared" si="225"/>
        <v>1.4537767469999998</v>
      </c>
      <c r="AB130" s="81">
        <f t="shared" si="208"/>
        <v>1.4537045628233889</v>
      </c>
      <c r="AC130" s="81">
        <v>0</v>
      </c>
      <c r="AD130" s="81">
        <f t="shared" si="226"/>
        <v>0</v>
      </c>
      <c r="AE130" s="81">
        <v>0</v>
      </c>
      <c r="AF130" s="81">
        <f t="shared" si="227"/>
        <v>0</v>
      </c>
      <c r="AG130" s="81">
        <f t="shared" si="228"/>
        <v>1.4537767469999998</v>
      </c>
      <c r="AH130" s="81">
        <f t="shared" si="209"/>
        <v>1.4537045628233889</v>
      </c>
      <c r="AI130" s="82">
        <f t="shared" si="229"/>
        <v>1.4537767469999998</v>
      </c>
      <c r="AJ130" s="82">
        <f t="shared" si="210"/>
        <v>1.4537045628233889</v>
      </c>
      <c r="AK130" s="82">
        <v>0</v>
      </c>
      <c r="AL130" s="82">
        <f t="shared" si="230"/>
        <v>0</v>
      </c>
      <c r="AM130" s="82">
        <v>0</v>
      </c>
      <c r="AN130" s="82">
        <f t="shared" si="231"/>
        <v>0</v>
      </c>
      <c r="AO130" s="82">
        <f t="shared" si="232"/>
        <v>1.4537767469999998</v>
      </c>
      <c r="AP130" s="82">
        <f t="shared" si="211"/>
        <v>1.4537045628233889</v>
      </c>
      <c r="AQ130" s="83">
        <f t="shared" si="233"/>
        <v>1.4537767469999998</v>
      </c>
      <c r="AR130" s="83">
        <f t="shared" si="212"/>
        <v>1.4537045628233889</v>
      </c>
      <c r="AS130" s="83">
        <v>0</v>
      </c>
      <c r="AT130" s="83">
        <f t="shared" si="234"/>
        <v>0</v>
      </c>
      <c r="AU130" s="83">
        <v>0</v>
      </c>
      <c r="AV130" s="83">
        <f t="shared" si="235"/>
        <v>0</v>
      </c>
      <c r="AW130" s="83">
        <f t="shared" si="236"/>
        <v>1.4537767469999998</v>
      </c>
      <c r="AX130" s="83">
        <f t="shared" si="213"/>
        <v>1.4537045628233889</v>
      </c>
    </row>
    <row r="131" spans="2:50" x14ac:dyDescent="0.35">
      <c r="B131" s="7" t="s">
        <v>143</v>
      </c>
      <c r="C131" s="78">
        <v>0.73246109200000009</v>
      </c>
      <c r="D131" s="78">
        <v>0.73246109200000009</v>
      </c>
      <c r="E131" s="78">
        <v>0.15563859999999999</v>
      </c>
      <c r="F131" s="78">
        <f t="shared" si="214"/>
        <v>0.15563860480630812</v>
      </c>
      <c r="G131" s="78">
        <v>0.14258209999999999</v>
      </c>
      <c r="H131" s="78">
        <f t="shared" si="215"/>
        <v>0.14258209999999999</v>
      </c>
      <c r="I131" s="78">
        <f t="shared" si="216"/>
        <v>0.74551759200000012</v>
      </c>
      <c r="J131" s="78">
        <f t="shared" si="203"/>
        <v>0.74551759680630814</v>
      </c>
      <c r="K131" s="79">
        <f t="shared" si="217"/>
        <v>0.74551759200000012</v>
      </c>
      <c r="L131" s="79">
        <f t="shared" si="204"/>
        <v>0.74551759680630814</v>
      </c>
      <c r="M131" s="79">
        <v>0</v>
      </c>
      <c r="N131" s="79">
        <f t="shared" si="218"/>
        <v>0</v>
      </c>
      <c r="O131" s="79">
        <v>0</v>
      </c>
      <c r="P131" s="79">
        <f t="shared" si="219"/>
        <v>0</v>
      </c>
      <c r="Q131" s="79">
        <f t="shared" si="220"/>
        <v>0.74551759200000012</v>
      </c>
      <c r="R131" s="79">
        <f t="shared" si="205"/>
        <v>0.74551759680630814</v>
      </c>
      <c r="S131" s="80">
        <f t="shared" si="221"/>
        <v>0.74551759200000012</v>
      </c>
      <c r="T131" s="80">
        <f t="shared" si="206"/>
        <v>0.74551759680630814</v>
      </c>
      <c r="U131" s="80">
        <v>1.7418300000000001E-2</v>
      </c>
      <c r="V131" s="80">
        <f t="shared" si="222"/>
        <v>1.7418310616961516E-2</v>
      </c>
      <c r="W131" s="80">
        <v>0</v>
      </c>
      <c r="X131" s="80">
        <f t="shared" si="223"/>
        <v>0</v>
      </c>
      <c r="Y131" s="80">
        <f t="shared" si="224"/>
        <v>0.76293589200000012</v>
      </c>
      <c r="Z131" s="80">
        <f t="shared" si="207"/>
        <v>0.76293590742326967</v>
      </c>
      <c r="AA131" s="81">
        <f t="shared" si="225"/>
        <v>0.76293589200000012</v>
      </c>
      <c r="AB131" s="81">
        <f t="shared" si="208"/>
        <v>0.76293590742326967</v>
      </c>
      <c r="AC131" s="81">
        <v>0</v>
      </c>
      <c r="AD131" s="81">
        <f t="shared" si="226"/>
        <v>0</v>
      </c>
      <c r="AE131" s="81">
        <v>0</v>
      </c>
      <c r="AF131" s="81">
        <f t="shared" si="227"/>
        <v>0</v>
      </c>
      <c r="AG131" s="81">
        <f t="shared" si="228"/>
        <v>0.76293589200000012</v>
      </c>
      <c r="AH131" s="81">
        <f t="shared" si="209"/>
        <v>0.76293590742326967</v>
      </c>
      <c r="AI131" s="82">
        <f t="shared" si="229"/>
        <v>0.76293589200000012</v>
      </c>
      <c r="AJ131" s="82">
        <f t="shared" si="210"/>
        <v>0.76293590742326967</v>
      </c>
      <c r="AK131" s="82">
        <v>0</v>
      </c>
      <c r="AL131" s="82">
        <f t="shared" si="230"/>
        <v>0</v>
      </c>
      <c r="AM131" s="82">
        <v>0</v>
      </c>
      <c r="AN131" s="82">
        <f t="shared" si="231"/>
        <v>0</v>
      </c>
      <c r="AO131" s="82">
        <f t="shared" si="232"/>
        <v>0.76293589200000012</v>
      </c>
      <c r="AP131" s="82">
        <f t="shared" si="211"/>
        <v>0.76293590742326967</v>
      </c>
      <c r="AQ131" s="83">
        <f t="shared" si="233"/>
        <v>0.76293589200000012</v>
      </c>
      <c r="AR131" s="83">
        <f t="shared" si="212"/>
        <v>0.76293590742326967</v>
      </c>
      <c r="AS131" s="83">
        <v>0</v>
      </c>
      <c r="AT131" s="83">
        <f t="shared" si="234"/>
        <v>0</v>
      </c>
      <c r="AU131" s="83">
        <v>0</v>
      </c>
      <c r="AV131" s="83">
        <f t="shared" si="235"/>
        <v>0</v>
      </c>
      <c r="AW131" s="83">
        <f t="shared" si="236"/>
        <v>0.76293589200000012</v>
      </c>
      <c r="AX131" s="83">
        <f t="shared" si="213"/>
        <v>0.76293590742326967</v>
      </c>
    </row>
    <row r="132" spans="2:50" x14ac:dyDescent="0.35">
      <c r="B132" s="7" t="s">
        <v>144</v>
      </c>
      <c r="C132" s="78">
        <v>1.5368732472289179</v>
      </c>
      <c r="D132" s="78">
        <v>1.5368732472289179</v>
      </c>
      <c r="E132" s="78">
        <v>0.16426479999999999</v>
      </c>
      <c r="F132" s="78">
        <f t="shared" si="214"/>
        <v>0.16426480507269561</v>
      </c>
      <c r="G132" s="78">
        <v>0.33820424900000001</v>
      </c>
      <c r="H132" s="78">
        <f t="shared" si="215"/>
        <v>0.33820424900000001</v>
      </c>
      <c r="I132" s="78">
        <f t="shared" si="216"/>
        <v>1.362933798228918</v>
      </c>
      <c r="J132" s="78">
        <f t="shared" si="203"/>
        <v>1.3629338033016136</v>
      </c>
      <c r="K132" s="79">
        <f t="shared" si="217"/>
        <v>1.362933798228918</v>
      </c>
      <c r="L132" s="79">
        <f t="shared" si="204"/>
        <v>1.3629338033016136</v>
      </c>
      <c r="M132" s="79">
        <v>9.3084601000000003E-2</v>
      </c>
      <c r="N132" s="79">
        <f t="shared" si="218"/>
        <v>9.3067467688128444E-2</v>
      </c>
      <c r="O132" s="79">
        <v>2.9024000000000001E-2</v>
      </c>
      <c r="P132" s="79">
        <f t="shared" si="219"/>
        <v>2.9024000000000001E-2</v>
      </c>
      <c r="Q132" s="79">
        <f t="shared" si="220"/>
        <v>1.426994399228918</v>
      </c>
      <c r="R132" s="79">
        <f t="shared" si="205"/>
        <v>1.4269772709897421</v>
      </c>
      <c r="S132" s="80">
        <f t="shared" si="221"/>
        <v>1.426994399228918</v>
      </c>
      <c r="T132" s="80">
        <f t="shared" si="206"/>
        <v>1.4269772709897421</v>
      </c>
      <c r="U132" s="80">
        <v>0.13679910000000001</v>
      </c>
      <c r="V132" s="80">
        <f t="shared" si="222"/>
        <v>0.13679918338303854</v>
      </c>
      <c r="W132" s="80">
        <v>0</v>
      </c>
      <c r="X132" s="80">
        <f t="shared" si="223"/>
        <v>0</v>
      </c>
      <c r="Y132" s="80">
        <f t="shared" si="224"/>
        <v>1.563793499228918</v>
      </c>
      <c r="Z132" s="80">
        <f t="shared" si="207"/>
        <v>1.5637764543727806</v>
      </c>
      <c r="AA132" s="81">
        <f t="shared" si="225"/>
        <v>1.563793499228918</v>
      </c>
      <c r="AB132" s="81">
        <f t="shared" si="208"/>
        <v>1.5637764543727806</v>
      </c>
      <c r="AC132" s="81">
        <v>0</v>
      </c>
      <c r="AD132" s="81">
        <f t="shared" si="226"/>
        <v>0</v>
      </c>
      <c r="AE132" s="81">
        <v>0</v>
      </c>
      <c r="AF132" s="81">
        <f t="shared" si="227"/>
        <v>0</v>
      </c>
      <c r="AG132" s="81">
        <f t="shared" si="228"/>
        <v>1.563793499228918</v>
      </c>
      <c r="AH132" s="81">
        <f t="shared" si="209"/>
        <v>1.5637764543727806</v>
      </c>
      <c r="AI132" s="82">
        <f t="shared" si="229"/>
        <v>1.563793499228918</v>
      </c>
      <c r="AJ132" s="82">
        <f t="shared" si="210"/>
        <v>1.5637764543727806</v>
      </c>
      <c r="AK132" s="82">
        <v>0</v>
      </c>
      <c r="AL132" s="82">
        <f t="shared" si="230"/>
        <v>0</v>
      </c>
      <c r="AM132" s="82">
        <v>0</v>
      </c>
      <c r="AN132" s="82">
        <f t="shared" si="231"/>
        <v>0</v>
      </c>
      <c r="AO132" s="82">
        <f t="shared" si="232"/>
        <v>1.563793499228918</v>
      </c>
      <c r="AP132" s="82">
        <f t="shared" si="211"/>
        <v>1.5637764543727806</v>
      </c>
      <c r="AQ132" s="83">
        <f t="shared" si="233"/>
        <v>1.563793499228918</v>
      </c>
      <c r="AR132" s="83">
        <f t="shared" si="212"/>
        <v>1.5637764543727806</v>
      </c>
      <c r="AS132" s="83">
        <v>0</v>
      </c>
      <c r="AT132" s="83">
        <f t="shared" si="234"/>
        <v>0</v>
      </c>
      <c r="AU132" s="83">
        <v>0</v>
      </c>
      <c r="AV132" s="83">
        <f t="shared" si="235"/>
        <v>0</v>
      </c>
      <c r="AW132" s="83">
        <f t="shared" si="236"/>
        <v>1.563793499228918</v>
      </c>
      <c r="AX132" s="83">
        <f t="shared" si="213"/>
        <v>1.5637764543727806</v>
      </c>
    </row>
    <row r="133" spans="2:50" x14ac:dyDescent="0.35">
      <c r="B133" s="7" t="s">
        <v>145</v>
      </c>
      <c r="C133" s="78">
        <v>0</v>
      </c>
      <c r="D133" s="78">
        <v>0</v>
      </c>
      <c r="E133" s="78">
        <v>0</v>
      </c>
      <c r="F133" s="78">
        <f t="shared" si="214"/>
        <v>0</v>
      </c>
      <c r="G133" s="78">
        <v>0</v>
      </c>
      <c r="H133" s="78">
        <f t="shared" si="215"/>
        <v>0</v>
      </c>
      <c r="I133" s="78">
        <f t="shared" si="216"/>
        <v>0</v>
      </c>
      <c r="J133" s="78">
        <f t="shared" si="203"/>
        <v>0</v>
      </c>
      <c r="K133" s="79">
        <f t="shared" si="217"/>
        <v>0</v>
      </c>
      <c r="L133" s="79">
        <f t="shared" si="204"/>
        <v>0</v>
      </c>
      <c r="M133" s="79">
        <v>0</v>
      </c>
      <c r="N133" s="79">
        <f t="shared" si="218"/>
        <v>0</v>
      </c>
      <c r="O133" s="79">
        <v>0</v>
      </c>
      <c r="P133" s="79">
        <f t="shared" si="219"/>
        <v>0</v>
      </c>
      <c r="Q133" s="79">
        <f t="shared" si="220"/>
        <v>0</v>
      </c>
      <c r="R133" s="79">
        <f t="shared" si="205"/>
        <v>0</v>
      </c>
      <c r="S133" s="80">
        <f t="shared" si="221"/>
        <v>0</v>
      </c>
      <c r="T133" s="80">
        <f t="shared" si="206"/>
        <v>0</v>
      </c>
      <c r="U133" s="80">
        <v>0</v>
      </c>
      <c r="V133" s="80">
        <f t="shared" si="222"/>
        <v>0</v>
      </c>
      <c r="W133" s="80">
        <v>0</v>
      </c>
      <c r="X133" s="80">
        <f t="shared" si="223"/>
        <v>0</v>
      </c>
      <c r="Y133" s="80">
        <f t="shared" si="224"/>
        <v>0</v>
      </c>
      <c r="Z133" s="80">
        <f t="shared" si="207"/>
        <v>0</v>
      </c>
      <c r="AA133" s="81">
        <f t="shared" si="225"/>
        <v>0</v>
      </c>
      <c r="AB133" s="81">
        <f t="shared" si="208"/>
        <v>0</v>
      </c>
      <c r="AC133" s="81">
        <v>0</v>
      </c>
      <c r="AD133" s="81">
        <f t="shared" si="226"/>
        <v>0</v>
      </c>
      <c r="AE133" s="81">
        <v>0</v>
      </c>
      <c r="AF133" s="81">
        <f t="shared" si="227"/>
        <v>0</v>
      </c>
      <c r="AG133" s="81">
        <f t="shared" si="228"/>
        <v>0</v>
      </c>
      <c r="AH133" s="81">
        <f t="shared" si="209"/>
        <v>0</v>
      </c>
      <c r="AI133" s="82">
        <f t="shared" si="229"/>
        <v>0</v>
      </c>
      <c r="AJ133" s="82">
        <f t="shared" si="210"/>
        <v>0</v>
      </c>
      <c r="AK133" s="82">
        <v>0</v>
      </c>
      <c r="AL133" s="82">
        <f t="shared" si="230"/>
        <v>0</v>
      </c>
      <c r="AM133" s="82">
        <v>0</v>
      </c>
      <c r="AN133" s="82">
        <f t="shared" si="231"/>
        <v>0</v>
      </c>
      <c r="AO133" s="82">
        <f t="shared" si="232"/>
        <v>0</v>
      </c>
      <c r="AP133" s="82">
        <f t="shared" si="211"/>
        <v>0</v>
      </c>
      <c r="AQ133" s="83">
        <f t="shared" si="233"/>
        <v>0</v>
      </c>
      <c r="AR133" s="83">
        <f t="shared" si="212"/>
        <v>0</v>
      </c>
      <c r="AS133" s="83">
        <v>0</v>
      </c>
      <c r="AT133" s="83">
        <f t="shared" si="234"/>
        <v>0</v>
      </c>
      <c r="AU133" s="83">
        <v>0</v>
      </c>
      <c r="AV133" s="83">
        <f t="shared" si="235"/>
        <v>0</v>
      </c>
      <c r="AW133" s="83">
        <f t="shared" si="236"/>
        <v>0</v>
      </c>
      <c r="AX133" s="83">
        <f t="shared" si="213"/>
        <v>0</v>
      </c>
    </row>
    <row r="134" spans="2:50" x14ac:dyDescent="0.35">
      <c r="B134" s="7" t="s">
        <v>146</v>
      </c>
      <c r="C134" s="78">
        <v>0</v>
      </c>
      <c r="D134" s="78">
        <v>0</v>
      </c>
      <c r="E134" s="78">
        <v>0</v>
      </c>
      <c r="F134" s="78">
        <f t="shared" si="214"/>
        <v>0</v>
      </c>
      <c r="G134" s="78">
        <v>0</v>
      </c>
      <c r="H134" s="78">
        <f t="shared" si="215"/>
        <v>0</v>
      </c>
      <c r="I134" s="78">
        <f t="shared" si="216"/>
        <v>0</v>
      </c>
      <c r="J134" s="78">
        <f t="shared" si="203"/>
        <v>0</v>
      </c>
      <c r="K134" s="79">
        <f t="shared" si="217"/>
        <v>0</v>
      </c>
      <c r="L134" s="79">
        <f t="shared" si="204"/>
        <v>0</v>
      </c>
      <c r="M134" s="79">
        <v>0</v>
      </c>
      <c r="N134" s="79">
        <f t="shared" si="218"/>
        <v>0</v>
      </c>
      <c r="O134" s="79">
        <v>0</v>
      </c>
      <c r="P134" s="79">
        <f t="shared" si="219"/>
        <v>0</v>
      </c>
      <c r="Q134" s="79">
        <f t="shared" si="220"/>
        <v>0</v>
      </c>
      <c r="R134" s="79">
        <f t="shared" si="205"/>
        <v>0</v>
      </c>
      <c r="S134" s="80">
        <f t="shared" si="221"/>
        <v>0</v>
      </c>
      <c r="T134" s="80">
        <f t="shared" si="206"/>
        <v>0</v>
      </c>
      <c r="U134" s="80">
        <v>0</v>
      </c>
      <c r="V134" s="80">
        <f t="shared" si="222"/>
        <v>0</v>
      </c>
      <c r="W134" s="80">
        <v>0</v>
      </c>
      <c r="X134" s="80">
        <f t="shared" si="223"/>
        <v>0</v>
      </c>
      <c r="Y134" s="80">
        <f t="shared" si="224"/>
        <v>0</v>
      </c>
      <c r="Z134" s="80">
        <f t="shared" si="207"/>
        <v>0</v>
      </c>
      <c r="AA134" s="81">
        <f t="shared" si="225"/>
        <v>0</v>
      </c>
      <c r="AB134" s="81">
        <f t="shared" si="208"/>
        <v>0</v>
      </c>
      <c r="AC134" s="81">
        <v>0</v>
      </c>
      <c r="AD134" s="81">
        <f t="shared" si="226"/>
        <v>0</v>
      </c>
      <c r="AE134" s="81">
        <v>0</v>
      </c>
      <c r="AF134" s="81">
        <f t="shared" si="227"/>
        <v>0</v>
      </c>
      <c r="AG134" s="81">
        <f t="shared" si="228"/>
        <v>0</v>
      </c>
      <c r="AH134" s="81">
        <f t="shared" si="209"/>
        <v>0</v>
      </c>
      <c r="AI134" s="82">
        <f t="shared" si="229"/>
        <v>0</v>
      </c>
      <c r="AJ134" s="82">
        <f t="shared" si="210"/>
        <v>0</v>
      </c>
      <c r="AK134" s="82">
        <v>0</v>
      </c>
      <c r="AL134" s="82">
        <f t="shared" si="230"/>
        <v>0</v>
      </c>
      <c r="AM134" s="82">
        <v>0</v>
      </c>
      <c r="AN134" s="82">
        <f t="shared" si="231"/>
        <v>0</v>
      </c>
      <c r="AO134" s="82">
        <f t="shared" si="232"/>
        <v>0</v>
      </c>
      <c r="AP134" s="82">
        <f t="shared" si="211"/>
        <v>0</v>
      </c>
      <c r="AQ134" s="83">
        <f t="shared" si="233"/>
        <v>0</v>
      </c>
      <c r="AR134" s="83">
        <f t="shared" si="212"/>
        <v>0</v>
      </c>
      <c r="AS134" s="83">
        <v>0</v>
      </c>
      <c r="AT134" s="83">
        <f t="shared" si="234"/>
        <v>0</v>
      </c>
      <c r="AU134" s="83">
        <v>0</v>
      </c>
      <c r="AV134" s="83">
        <f t="shared" si="235"/>
        <v>0</v>
      </c>
      <c r="AW134" s="83">
        <f t="shared" si="236"/>
        <v>0</v>
      </c>
      <c r="AX134" s="83">
        <f t="shared" si="213"/>
        <v>0</v>
      </c>
    </row>
    <row r="135" spans="2:50" x14ac:dyDescent="0.35">
      <c r="B135" s="7" t="s">
        <v>147</v>
      </c>
      <c r="C135" s="78">
        <v>0</v>
      </c>
      <c r="D135" s="78">
        <v>0</v>
      </c>
      <c r="E135" s="78">
        <v>0</v>
      </c>
      <c r="F135" s="78">
        <f t="shared" si="214"/>
        <v>0</v>
      </c>
      <c r="G135" s="78">
        <v>0</v>
      </c>
      <c r="H135" s="78">
        <f t="shared" si="215"/>
        <v>0</v>
      </c>
      <c r="I135" s="78">
        <f t="shared" si="216"/>
        <v>0</v>
      </c>
      <c r="J135" s="78">
        <f t="shared" si="203"/>
        <v>0</v>
      </c>
      <c r="K135" s="79">
        <f t="shared" si="217"/>
        <v>0</v>
      </c>
      <c r="L135" s="79">
        <f t="shared" si="204"/>
        <v>0</v>
      </c>
      <c r="M135" s="79">
        <v>0</v>
      </c>
      <c r="N135" s="79">
        <f t="shared" si="218"/>
        <v>0</v>
      </c>
      <c r="O135" s="79">
        <v>0</v>
      </c>
      <c r="P135" s="79">
        <f t="shared" si="219"/>
        <v>0</v>
      </c>
      <c r="Q135" s="79">
        <f t="shared" si="220"/>
        <v>0</v>
      </c>
      <c r="R135" s="79">
        <f t="shared" si="205"/>
        <v>0</v>
      </c>
      <c r="S135" s="80">
        <f t="shared" si="221"/>
        <v>0</v>
      </c>
      <c r="T135" s="80">
        <f t="shared" si="206"/>
        <v>0</v>
      </c>
      <c r="U135" s="80">
        <v>0</v>
      </c>
      <c r="V135" s="80">
        <f t="shared" si="222"/>
        <v>0</v>
      </c>
      <c r="W135" s="80">
        <v>0</v>
      </c>
      <c r="X135" s="80">
        <f t="shared" si="223"/>
        <v>0</v>
      </c>
      <c r="Y135" s="80">
        <f t="shared" si="224"/>
        <v>0</v>
      </c>
      <c r="Z135" s="80">
        <f t="shared" si="207"/>
        <v>0</v>
      </c>
      <c r="AA135" s="81">
        <f t="shared" si="225"/>
        <v>0</v>
      </c>
      <c r="AB135" s="81">
        <f t="shared" si="208"/>
        <v>0</v>
      </c>
      <c r="AC135" s="81">
        <v>0</v>
      </c>
      <c r="AD135" s="81">
        <f t="shared" si="226"/>
        <v>0</v>
      </c>
      <c r="AE135" s="81">
        <v>0</v>
      </c>
      <c r="AF135" s="81">
        <f t="shared" si="227"/>
        <v>0</v>
      </c>
      <c r="AG135" s="81">
        <f t="shared" si="228"/>
        <v>0</v>
      </c>
      <c r="AH135" s="81">
        <f t="shared" si="209"/>
        <v>0</v>
      </c>
      <c r="AI135" s="82">
        <f t="shared" si="229"/>
        <v>0</v>
      </c>
      <c r="AJ135" s="82">
        <f t="shared" si="210"/>
        <v>0</v>
      </c>
      <c r="AK135" s="82">
        <v>0</v>
      </c>
      <c r="AL135" s="82">
        <f t="shared" si="230"/>
        <v>0</v>
      </c>
      <c r="AM135" s="82">
        <v>0</v>
      </c>
      <c r="AN135" s="82">
        <f t="shared" si="231"/>
        <v>0</v>
      </c>
      <c r="AO135" s="82">
        <f t="shared" si="232"/>
        <v>0</v>
      </c>
      <c r="AP135" s="82">
        <f t="shared" si="211"/>
        <v>0</v>
      </c>
      <c r="AQ135" s="83">
        <f t="shared" si="233"/>
        <v>0</v>
      </c>
      <c r="AR135" s="83">
        <f t="shared" si="212"/>
        <v>0</v>
      </c>
      <c r="AS135" s="83">
        <v>0</v>
      </c>
      <c r="AT135" s="83">
        <f t="shared" si="234"/>
        <v>0</v>
      </c>
      <c r="AU135" s="83">
        <v>0</v>
      </c>
      <c r="AV135" s="83">
        <f t="shared" si="235"/>
        <v>0</v>
      </c>
      <c r="AW135" s="83">
        <f t="shared" si="236"/>
        <v>0</v>
      </c>
      <c r="AX135" s="83">
        <f t="shared" si="213"/>
        <v>0</v>
      </c>
    </row>
    <row r="136" spans="2:50" x14ac:dyDescent="0.35">
      <c r="B136" s="7" t="s">
        <v>148</v>
      </c>
      <c r="C136" s="78">
        <v>0</v>
      </c>
      <c r="D136" s="78">
        <v>0</v>
      </c>
      <c r="E136" s="78">
        <v>0</v>
      </c>
      <c r="F136" s="78">
        <f t="shared" si="214"/>
        <v>0</v>
      </c>
      <c r="G136" s="78">
        <v>0</v>
      </c>
      <c r="H136" s="78">
        <f t="shared" si="215"/>
        <v>0</v>
      </c>
      <c r="I136" s="78">
        <f t="shared" si="216"/>
        <v>0</v>
      </c>
      <c r="J136" s="78">
        <f t="shared" si="203"/>
        <v>0</v>
      </c>
      <c r="K136" s="79">
        <f t="shared" si="217"/>
        <v>0</v>
      </c>
      <c r="L136" s="79">
        <f t="shared" si="204"/>
        <v>0</v>
      </c>
      <c r="M136" s="79">
        <v>0</v>
      </c>
      <c r="N136" s="79">
        <f t="shared" si="218"/>
        <v>0</v>
      </c>
      <c r="O136" s="79">
        <v>0</v>
      </c>
      <c r="P136" s="79">
        <f t="shared" si="219"/>
        <v>0</v>
      </c>
      <c r="Q136" s="79">
        <f t="shared" si="220"/>
        <v>0</v>
      </c>
      <c r="R136" s="79">
        <f t="shared" si="205"/>
        <v>0</v>
      </c>
      <c r="S136" s="80">
        <f t="shared" si="221"/>
        <v>0</v>
      </c>
      <c r="T136" s="80">
        <f t="shared" si="206"/>
        <v>0</v>
      </c>
      <c r="U136" s="80">
        <v>0</v>
      </c>
      <c r="V136" s="80">
        <f t="shared" si="222"/>
        <v>0</v>
      </c>
      <c r="W136" s="80">
        <v>0</v>
      </c>
      <c r="X136" s="80">
        <f t="shared" si="223"/>
        <v>0</v>
      </c>
      <c r="Y136" s="80">
        <f t="shared" si="224"/>
        <v>0</v>
      </c>
      <c r="Z136" s="80">
        <f t="shared" si="207"/>
        <v>0</v>
      </c>
      <c r="AA136" s="81">
        <f t="shared" si="225"/>
        <v>0</v>
      </c>
      <c r="AB136" s="81">
        <f t="shared" si="208"/>
        <v>0</v>
      </c>
      <c r="AC136" s="81">
        <v>0</v>
      </c>
      <c r="AD136" s="81">
        <f t="shared" si="226"/>
        <v>0</v>
      </c>
      <c r="AE136" s="81">
        <v>0</v>
      </c>
      <c r="AF136" s="81">
        <f t="shared" si="227"/>
        <v>0</v>
      </c>
      <c r="AG136" s="81">
        <f t="shared" si="228"/>
        <v>0</v>
      </c>
      <c r="AH136" s="81">
        <f t="shared" si="209"/>
        <v>0</v>
      </c>
      <c r="AI136" s="82">
        <f t="shared" si="229"/>
        <v>0</v>
      </c>
      <c r="AJ136" s="82">
        <f t="shared" si="210"/>
        <v>0</v>
      </c>
      <c r="AK136" s="82">
        <v>0</v>
      </c>
      <c r="AL136" s="82">
        <f t="shared" si="230"/>
        <v>0</v>
      </c>
      <c r="AM136" s="82">
        <v>0</v>
      </c>
      <c r="AN136" s="82">
        <f t="shared" si="231"/>
        <v>0</v>
      </c>
      <c r="AO136" s="82">
        <f t="shared" si="232"/>
        <v>0</v>
      </c>
      <c r="AP136" s="82">
        <f t="shared" si="211"/>
        <v>0</v>
      </c>
      <c r="AQ136" s="83">
        <f t="shared" si="233"/>
        <v>0</v>
      </c>
      <c r="AR136" s="83">
        <f t="shared" si="212"/>
        <v>0</v>
      </c>
      <c r="AS136" s="83">
        <v>0</v>
      </c>
      <c r="AT136" s="83">
        <f t="shared" si="234"/>
        <v>0</v>
      </c>
      <c r="AU136" s="83">
        <v>0</v>
      </c>
      <c r="AV136" s="83">
        <f t="shared" si="235"/>
        <v>0</v>
      </c>
      <c r="AW136" s="83">
        <f t="shared" si="236"/>
        <v>0</v>
      </c>
      <c r="AX136" s="83">
        <f t="shared" si="213"/>
        <v>0</v>
      </c>
    </row>
    <row r="137" spans="2:50" ht="31" x14ac:dyDescent="0.35">
      <c r="B137" s="84" t="s">
        <v>149</v>
      </c>
      <c r="C137" s="78">
        <v>0</v>
      </c>
      <c r="D137" s="78">
        <v>0</v>
      </c>
      <c r="E137" s="78">
        <v>0</v>
      </c>
      <c r="F137" s="78">
        <f t="shared" si="214"/>
        <v>0</v>
      </c>
      <c r="G137" s="78">
        <v>0</v>
      </c>
      <c r="H137" s="78">
        <f t="shared" si="215"/>
        <v>0</v>
      </c>
      <c r="I137" s="78">
        <f t="shared" si="216"/>
        <v>0</v>
      </c>
      <c r="J137" s="78">
        <f t="shared" si="203"/>
        <v>0</v>
      </c>
      <c r="K137" s="79">
        <f t="shared" si="217"/>
        <v>0</v>
      </c>
      <c r="L137" s="79">
        <f t="shared" si="204"/>
        <v>0</v>
      </c>
      <c r="M137" s="79">
        <v>0</v>
      </c>
      <c r="N137" s="79">
        <f t="shared" si="218"/>
        <v>0</v>
      </c>
      <c r="O137" s="79">
        <v>0</v>
      </c>
      <c r="P137" s="79">
        <f t="shared" si="219"/>
        <v>0</v>
      </c>
      <c r="Q137" s="79">
        <f t="shared" si="220"/>
        <v>0</v>
      </c>
      <c r="R137" s="79">
        <f t="shared" si="205"/>
        <v>0</v>
      </c>
      <c r="S137" s="80">
        <f t="shared" si="221"/>
        <v>0</v>
      </c>
      <c r="T137" s="80">
        <f t="shared" si="206"/>
        <v>0</v>
      </c>
      <c r="U137" s="80">
        <v>0</v>
      </c>
      <c r="V137" s="80">
        <f t="shared" si="222"/>
        <v>0</v>
      </c>
      <c r="W137" s="80">
        <v>0</v>
      </c>
      <c r="X137" s="80">
        <f t="shared" si="223"/>
        <v>0</v>
      </c>
      <c r="Y137" s="80">
        <f t="shared" si="224"/>
        <v>0</v>
      </c>
      <c r="Z137" s="80">
        <f t="shared" si="207"/>
        <v>0</v>
      </c>
      <c r="AA137" s="81">
        <f t="shared" si="225"/>
        <v>0</v>
      </c>
      <c r="AB137" s="81">
        <f t="shared" si="208"/>
        <v>0</v>
      </c>
      <c r="AC137" s="81">
        <v>0</v>
      </c>
      <c r="AD137" s="81">
        <f t="shared" si="226"/>
        <v>0</v>
      </c>
      <c r="AE137" s="81">
        <v>0</v>
      </c>
      <c r="AF137" s="81">
        <f t="shared" si="227"/>
        <v>0</v>
      </c>
      <c r="AG137" s="81">
        <f t="shared" si="228"/>
        <v>0</v>
      </c>
      <c r="AH137" s="81">
        <f t="shared" si="209"/>
        <v>0</v>
      </c>
      <c r="AI137" s="82">
        <f t="shared" si="229"/>
        <v>0</v>
      </c>
      <c r="AJ137" s="82">
        <f t="shared" si="210"/>
        <v>0</v>
      </c>
      <c r="AK137" s="82">
        <v>0</v>
      </c>
      <c r="AL137" s="82">
        <f t="shared" si="230"/>
        <v>0</v>
      </c>
      <c r="AM137" s="82">
        <v>0</v>
      </c>
      <c r="AN137" s="82">
        <f t="shared" si="231"/>
        <v>0</v>
      </c>
      <c r="AO137" s="82">
        <f t="shared" si="232"/>
        <v>0</v>
      </c>
      <c r="AP137" s="82">
        <f t="shared" si="211"/>
        <v>0</v>
      </c>
      <c r="AQ137" s="83">
        <f t="shared" si="233"/>
        <v>0</v>
      </c>
      <c r="AR137" s="83">
        <f t="shared" si="212"/>
        <v>0</v>
      </c>
      <c r="AS137" s="83">
        <v>0</v>
      </c>
      <c r="AT137" s="83">
        <f t="shared" si="234"/>
        <v>0</v>
      </c>
      <c r="AU137" s="83">
        <v>0</v>
      </c>
      <c r="AV137" s="83">
        <f t="shared" si="235"/>
        <v>0</v>
      </c>
      <c r="AW137" s="83">
        <f t="shared" si="236"/>
        <v>0</v>
      </c>
      <c r="AX137" s="83">
        <f t="shared" si="213"/>
        <v>0</v>
      </c>
    </row>
    <row r="138" spans="2:50" x14ac:dyDescent="0.35">
      <c r="B138" s="12" t="s">
        <v>27</v>
      </c>
      <c r="C138" s="85">
        <f>SUM(C121:C137)</f>
        <v>1697.264459498</v>
      </c>
      <c r="D138" s="85">
        <f t="shared" ref="D138:E138" si="237">SUM(D121:D137)</f>
        <v>1697.264459498</v>
      </c>
      <c r="E138" s="85">
        <f t="shared" si="237"/>
        <v>0.87431809999999988</v>
      </c>
      <c r="F138" s="85">
        <v>0.87431812699999989</v>
      </c>
      <c r="G138" s="85">
        <f t="shared" ref="G138:M138" si="238">SUM(G121:G137)</f>
        <v>0.797091349</v>
      </c>
      <c r="H138" s="85">
        <f t="shared" si="238"/>
        <v>0.797091349</v>
      </c>
      <c r="I138" s="85">
        <f t="shared" si="238"/>
        <v>1697.3416862489998</v>
      </c>
      <c r="J138" s="85">
        <f t="shared" si="238"/>
        <v>1697.3416862759998</v>
      </c>
      <c r="K138" s="86">
        <f t="shared" si="238"/>
        <v>1697.3416862489998</v>
      </c>
      <c r="L138" s="86">
        <f t="shared" si="238"/>
        <v>1697.3416862759998</v>
      </c>
      <c r="M138" s="86">
        <f t="shared" si="238"/>
        <v>8.1844828499999984</v>
      </c>
      <c r="N138" s="86">
        <v>8.1829763999999976</v>
      </c>
      <c r="O138" s="86">
        <f t="shared" ref="O138:U138" si="239">SUM(O121:O137)</f>
        <v>2.9024000000000001E-2</v>
      </c>
      <c r="P138" s="86">
        <f t="shared" si="239"/>
        <v>2.9024000000000001E-2</v>
      </c>
      <c r="Q138" s="86">
        <f t="shared" si="239"/>
        <v>1705.4971450989999</v>
      </c>
      <c r="R138" s="86">
        <f t="shared" si="239"/>
        <v>1705.4956386759998</v>
      </c>
      <c r="S138" s="87">
        <f t="shared" si="239"/>
        <v>1705.4971450989999</v>
      </c>
      <c r="T138" s="87">
        <f t="shared" si="239"/>
        <v>1705.4956386759998</v>
      </c>
      <c r="U138" s="87">
        <f t="shared" si="239"/>
        <v>0.1542174</v>
      </c>
      <c r="V138" s="87">
        <v>0.15421749400000004</v>
      </c>
      <c r="W138" s="87">
        <f t="shared" ref="W138:AC138" si="240">SUM(W121:W137)</f>
        <v>0</v>
      </c>
      <c r="X138" s="87">
        <f t="shared" si="240"/>
        <v>0</v>
      </c>
      <c r="Y138" s="87">
        <f t="shared" si="240"/>
        <v>1705.651362499</v>
      </c>
      <c r="Z138" s="87">
        <f t="shared" si="240"/>
        <v>1705.6498561699998</v>
      </c>
      <c r="AA138" s="88">
        <f t="shared" si="240"/>
        <v>1705.651362499</v>
      </c>
      <c r="AB138" s="88">
        <f t="shared" si="240"/>
        <v>1705.6498561699998</v>
      </c>
      <c r="AC138" s="88">
        <f t="shared" si="240"/>
        <v>34.549999999999997</v>
      </c>
      <c r="AD138" s="88">
        <v>34.549999999999997</v>
      </c>
      <c r="AE138" s="88">
        <f t="shared" ref="AE138:AK138" si="241">SUM(AE121:AE137)</f>
        <v>0</v>
      </c>
      <c r="AF138" s="88">
        <f t="shared" si="241"/>
        <v>0</v>
      </c>
      <c r="AG138" s="88">
        <f t="shared" si="241"/>
        <v>1740.201362499</v>
      </c>
      <c r="AH138" s="88">
        <f t="shared" si="241"/>
        <v>1740.1998561699997</v>
      </c>
      <c r="AI138" s="89">
        <f t="shared" si="241"/>
        <v>1740.201362499</v>
      </c>
      <c r="AJ138" s="89">
        <f t="shared" si="241"/>
        <v>1740.1998561699997</v>
      </c>
      <c r="AK138" s="89">
        <f t="shared" si="241"/>
        <v>114.04</v>
      </c>
      <c r="AL138" s="89">
        <v>114.04999999999998</v>
      </c>
      <c r="AM138" s="89">
        <f t="shared" ref="AM138:AS138" si="242">SUM(AM121:AM137)</f>
        <v>0</v>
      </c>
      <c r="AN138" s="89">
        <f t="shared" si="242"/>
        <v>0</v>
      </c>
      <c r="AO138" s="89">
        <f t="shared" si="242"/>
        <v>1854.2413624989999</v>
      </c>
      <c r="AP138" s="89">
        <f t="shared" si="242"/>
        <v>1854.2498561699997</v>
      </c>
      <c r="AQ138" s="90">
        <f t="shared" si="242"/>
        <v>1854.2413624989999</v>
      </c>
      <c r="AR138" s="90">
        <f t="shared" si="242"/>
        <v>1854.2498561699997</v>
      </c>
      <c r="AS138" s="90">
        <f t="shared" si="242"/>
        <v>25.67</v>
      </c>
      <c r="AT138" s="90">
        <v>8.5</v>
      </c>
      <c r="AU138" s="90">
        <f t="shared" ref="AU138:AX138" si="243">SUM(AU121:AU137)</f>
        <v>0</v>
      </c>
      <c r="AV138" s="90">
        <f t="shared" si="243"/>
        <v>0</v>
      </c>
      <c r="AW138" s="90">
        <f t="shared" si="243"/>
        <v>1879.911362499</v>
      </c>
      <c r="AX138" s="90">
        <f t="shared" si="243"/>
        <v>1862.7498561699997</v>
      </c>
    </row>
    <row r="139" spans="2:50" s="77" customFormat="1" x14ac:dyDescent="0.35">
      <c r="B139" s="70" t="s">
        <v>155</v>
      </c>
      <c r="C139" s="71"/>
      <c r="D139" s="71"/>
      <c r="E139" s="71"/>
      <c r="F139" s="71"/>
      <c r="G139" s="71"/>
      <c r="H139" s="71"/>
      <c r="I139" s="71"/>
      <c r="J139" s="71"/>
      <c r="K139" s="72"/>
      <c r="L139" s="72"/>
      <c r="M139" s="72"/>
      <c r="N139" s="72"/>
      <c r="O139" s="72"/>
      <c r="P139" s="72"/>
      <c r="Q139" s="72"/>
      <c r="R139" s="72"/>
      <c r="S139" s="73"/>
      <c r="T139" s="73"/>
      <c r="U139" s="73"/>
      <c r="V139" s="73"/>
      <c r="W139" s="73"/>
      <c r="X139" s="73"/>
      <c r="Y139" s="73"/>
      <c r="Z139" s="73"/>
      <c r="AA139" s="74"/>
      <c r="AB139" s="74"/>
      <c r="AC139" s="74"/>
      <c r="AD139" s="74"/>
      <c r="AE139" s="74"/>
      <c r="AF139" s="74"/>
      <c r="AG139" s="74"/>
      <c r="AH139" s="74"/>
      <c r="AI139" s="75"/>
      <c r="AJ139" s="75"/>
      <c r="AK139" s="75"/>
      <c r="AL139" s="75"/>
      <c r="AM139" s="75"/>
      <c r="AN139" s="75"/>
      <c r="AO139" s="75"/>
      <c r="AP139" s="75"/>
      <c r="AQ139" s="76"/>
      <c r="AR139" s="76"/>
      <c r="AS139" s="76"/>
      <c r="AT139" s="76"/>
      <c r="AU139" s="76"/>
      <c r="AV139" s="76"/>
      <c r="AW139" s="76"/>
      <c r="AX139" s="76"/>
    </row>
    <row r="140" spans="2:50" x14ac:dyDescent="0.35">
      <c r="B140" s="7" t="s">
        <v>133</v>
      </c>
      <c r="C140" s="78">
        <v>61.027374925029619</v>
      </c>
      <c r="D140" s="78">
        <v>61.027374925029619</v>
      </c>
      <c r="E140" s="78">
        <v>1.2533297000000001</v>
      </c>
      <c r="F140" s="78">
        <f>IFERROR(E140/E$157*F$157,0)</f>
        <v>1.1082184684349028</v>
      </c>
      <c r="G140" s="78">
        <v>0</v>
      </c>
      <c r="H140" s="78">
        <f>G140</f>
        <v>0</v>
      </c>
      <c r="I140" s="78">
        <f>C140+E140-G140</f>
        <v>62.280704625029621</v>
      </c>
      <c r="J140" s="78">
        <f t="shared" ref="J140:J156" si="244">D140+F140-H140</f>
        <v>62.135593393464525</v>
      </c>
      <c r="K140" s="79">
        <f>I140</f>
        <v>62.280704625029621</v>
      </c>
      <c r="L140" s="79">
        <f t="shared" ref="L140:L156" si="245">J140</f>
        <v>62.135593393464525</v>
      </c>
      <c r="M140" s="79">
        <v>1.8360259999999999</v>
      </c>
      <c r="N140" s="79">
        <f>IFERROR(M140/M$157*N$157,0)</f>
        <v>1.5488318475712426</v>
      </c>
      <c r="O140" s="79">
        <v>0</v>
      </c>
      <c r="P140" s="79">
        <f>O140</f>
        <v>0</v>
      </c>
      <c r="Q140" s="79">
        <f>K140+M140-O140</f>
        <v>64.116730625029618</v>
      </c>
      <c r="R140" s="79">
        <f t="shared" ref="R140:R156" si="246">L140+N140-P140</f>
        <v>63.684425241035768</v>
      </c>
      <c r="S140" s="80">
        <f>Q140</f>
        <v>64.116730625029618</v>
      </c>
      <c r="T140" s="80">
        <f t="shared" ref="T140:T156" si="247">R140</f>
        <v>63.684425241035768</v>
      </c>
      <c r="U140" s="80">
        <v>1.0787732999999999</v>
      </c>
      <c r="V140" s="80">
        <f>IFERROR(U140/U$157*V$157,0)</f>
        <v>1.0787732999999997</v>
      </c>
      <c r="W140" s="80">
        <v>0</v>
      </c>
      <c r="X140" s="80">
        <f>W140</f>
        <v>0</v>
      </c>
      <c r="Y140" s="80">
        <f>S140+U140-W140</f>
        <v>65.195503925029612</v>
      </c>
      <c r="Z140" s="80">
        <f t="shared" ref="Z140:Z156" si="248">T140+V140-X140</f>
        <v>64.763198541035763</v>
      </c>
      <c r="AA140" s="81">
        <f>Y140</f>
        <v>65.195503925029612</v>
      </c>
      <c r="AB140" s="81">
        <f t="shared" ref="AB140:AB156" si="249">Z140</f>
        <v>64.763198541035763</v>
      </c>
      <c r="AC140" s="81">
        <v>0</v>
      </c>
      <c r="AD140" s="81">
        <f>IFERROR(AC140/AC$157*AD$157,0)</f>
        <v>0</v>
      </c>
      <c r="AE140" s="81">
        <v>0</v>
      </c>
      <c r="AF140" s="81">
        <f>AE140</f>
        <v>0</v>
      </c>
      <c r="AG140" s="81">
        <f>AA140+AC140-AE140</f>
        <v>65.195503925029612</v>
      </c>
      <c r="AH140" s="81">
        <f t="shared" ref="AH140:AH156" si="250">AB140+AD140-AF140</f>
        <v>64.763198541035763</v>
      </c>
      <c r="AI140" s="82">
        <f>AG140</f>
        <v>65.195503925029612</v>
      </c>
      <c r="AJ140" s="82">
        <f t="shared" ref="AJ140:AJ156" si="251">AH140</f>
        <v>64.763198541035763</v>
      </c>
      <c r="AK140" s="82">
        <v>0</v>
      </c>
      <c r="AL140" s="82">
        <f>IFERROR(AK140/AK$157*AL$157,0)</f>
        <v>0</v>
      </c>
      <c r="AM140" s="82">
        <v>0</v>
      </c>
      <c r="AN140" s="82">
        <f>AM140</f>
        <v>0</v>
      </c>
      <c r="AO140" s="82">
        <f>AI140+AK140-AM140</f>
        <v>65.195503925029612</v>
      </c>
      <c r="AP140" s="82">
        <f t="shared" ref="AP140:AP156" si="252">AJ140+AL140-AN140</f>
        <v>64.763198541035763</v>
      </c>
      <c r="AQ140" s="83">
        <f>AO140</f>
        <v>65.195503925029612</v>
      </c>
      <c r="AR140" s="83">
        <f t="shared" ref="AR140:AR156" si="253">AP140</f>
        <v>64.763198541035763</v>
      </c>
      <c r="AS140" s="83">
        <v>0</v>
      </c>
      <c r="AT140" s="83">
        <f>IFERROR(AS140/AS$157*AT$157,0)</f>
        <v>0</v>
      </c>
      <c r="AU140" s="83">
        <v>0</v>
      </c>
      <c r="AV140" s="83">
        <f>AU140</f>
        <v>0</v>
      </c>
      <c r="AW140" s="83">
        <f>AQ140+AS140-AU140</f>
        <v>65.195503925029612</v>
      </c>
      <c r="AX140" s="83">
        <f t="shared" ref="AX140:AX156" si="254">AR140+AT140-AV140</f>
        <v>64.763198541035763</v>
      </c>
    </row>
    <row r="141" spans="2:50" x14ac:dyDescent="0.35">
      <c r="B141" s="7" t="s">
        <v>134</v>
      </c>
      <c r="C141" s="78">
        <v>243.03241508693986</v>
      </c>
      <c r="D141" s="78">
        <v>243.03241508693986</v>
      </c>
      <c r="E141" s="78">
        <v>0</v>
      </c>
      <c r="F141" s="78">
        <f t="shared" ref="F141:F156" si="255">IFERROR(E141/E$157*F$157,0)</f>
        <v>0</v>
      </c>
      <c r="G141" s="78">
        <v>0</v>
      </c>
      <c r="H141" s="78">
        <f t="shared" ref="H141:H156" si="256">G141</f>
        <v>0</v>
      </c>
      <c r="I141" s="78">
        <f t="shared" ref="I141:I156" si="257">C141+E141-G141</f>
        <v>243.03241508693986</v>
      </c>
      <c r="J141" s="78">
        <f t="shared" si="244"/>
        <v>243.03241508693986</v>
      </c>
      <c r="K141" s="79">
        <f t="shared" ref="K141:K156" si="258">I141</f>
        <v>243.03241508693986</v>
      </c>
      <c r="L141" s="79">
        <f t="shared" si="245"/>
        <v>243.03241508693986</v>
      </c>
      <c r="M141" s="79">
        <v>0</v>
      </c>
      <c r="N141" s="79">
        <f t="shared" ref="N141:N156" si="259">IFERROR(M141/M$157*N$157,0)</f>
        <v>0</v>
      </c>
      <c r="O141" s="79">
        <v>0</v>
      </c>
      <c r="P141" s="79">
        <f t="shared" ref="P141:P156" si="260">O141</f>
        <v>0</v>
      </c>
      <c r="Q141" s="79">
        <f t="shared" ref="Q141:Q156" si="261">K141+M141-O141</f>
        <v>243.03241508693986</v>
      </c>
      <c r="R141" s="79">
        <f t="shared" si="246"/>
        <v>243.03241508693986</v>
      </c>
      <c r="S141" s="80">
        <f t="shared" ref="S141:S156" si="262">Q141</f>
        <v>243.03241508693986</v>
      </c>
      <c r="T141" s="80">
        <f t="shared" si="247"/>
        <v>243.03241508693986</v>
      </c>
      <c r="U141" s="80">
        <v>0</v>
      </c>
      <c r="V141" s="80">
        <f t="shared" ref="V141:V156" si="263">IFERROR(U141/U$157*V$157,0)</f>
        <v>0</v>
      </c>
      <c r="W141" s="80">
        <v>0</v>
      </c>
      <c r="X141" s="80">
        <f t="shared" ref="X141:X156" si="264">W141</f>
        <v>0</v>
      </c>
      <c r="Y141" s="80">
        <f t="shared" ref="Y141:Y156" si="265">S141+U141-W141</f>
        <v>243.03241508693986</v>
      </c>
      <c r="Z141" s="80">
        <f t="shared" si="248"/>
        <v>243.03241508693986</v>
      </c>
      <c r="AA141" s="81">
        <f t="shared" ref="AA141:AA156" si="266">Y141</f>
        <v>243.03241508693986</v>
      </c>
      <c r="AB141" s="81">
        <f t="shared" si="249"/>
        <v>243.03241508693986</v>
      </c>
      <c r="AC141" s="81">
        <v>0</v>
      </c>
      <c r="AD141" s="81">
        <f t="shared" ref="AD141:AD156" si="267">IFERROR(AC141/AC$157*AD$157,0)</f>
        <v>0</v>
      </c>
      <c r="AE141" s="81">
        <v>0</v>
      </c>
      <c r="AF141" s="81">
        <f t="shared" ref="AF141:AF156" si="268">AE141</f>
        <v>0</v>
      </c>
      <c r="AG141" s="81">
        <f t="shared" ref="AG141:AG156" si="269">AA141+AC141-AE141</f>
        <v>243.03241508693986</v>
      </c>
      <c r="AH141" s="81">
        <f t="shared" si="250"/>
        <v>243.03241508693986</v>
      </c>
      <c r="AI141" s="82">
        <f t="shared" ref="AI141:AI156" si="270">AG141</f>
        <v>243.03241508693986</v>
      </c>
      <c r="AJ141" s="82">
        <f t="shared" si="251"/>
        <v>243.03241508693986</v>
      </c>
      <c r="AK141" s="82">
        <v>0</v>
      </c>
      <c r="AL141" s="82">
        <f t="shared" ref="AL141:AL156" si="271">IFERROR(AK141/AK$157*AL$157,0)</f>
        <v>0</v>
      </c>
      <c r="AM141" s="82">
        <v>0</v>
      </c>
      <c r="AN141" s="82">
        <f t="shared" ref="AN141:AN156" si="272">AM141</f>
        <v>0</v>
      </c>
      <c r="AO141" s="82">
        <f t="shared" ref="AO141:AO156" si="273">AI141+AK141-AM141</f>
        <v>243.03241508693986</v>
      </c>
      <c r="AP141" s="82">
        <f t="shared" si="252"/>
        <v>243.03241508693986</v>
      </c>
      <c r="AQ141" s="83">
        <f t="shared" ref="AQ141:AQ156" si="274">AO141</f>
        <v>243.03241508693986</v>
      </c>
      <c r="AR141" s="83">
        <f t="shared" si="253"/>
        <v>243.03241508693986</v>
      </c>
      <c r="AS141" s="83">
        <v>0</v>
      </c>
      <c r="AT141" s="83">
        <f t="shared" ref="AT141:AT156" si="275">IFERROR(AS141/AS$157*AT$157,0)</f>
        <v>0</v>
      </c>
      <c r="AU141" s="83">
        <v>0</v>
      </c>
      <c r="AV141" s="83">
        <f t="shared" ref="AV141:AV156" si="276">AU141</f>
        <v>0</v>
      </c>
      <c r="AW141" s="83">
        <f t="shared" ref="AW141:AW156" si="277">AQ141+AS141-AU141</f>
        <v>243.03241508693986</v>
      </c>
      <c r="AX141" s="83">
        <f t="shared" si="254"/>
        <v>243.03241508693986</v>
      </c>
    </row>
    <row r="142" spans="2:50" ht="31" x14ac:dyDescent="0.35">
      <c r="B142" s="84" t="s">
        <v>135</v>
      </c>
      <c r="C142" s="78">
        <v>43.778261135392526</v>
      </c>
      <c r="D142" s="78">
        <v>43.778261135392526</v>
      </c>
      <c r="E142" s="78">
        <v>0</v>
      </c>
      <c r="F142" s="78">
        <f t="shared" si="255"/>
        <v>0</v>
      </c>
      <c r="G142" s="78">
        <v>0</v>
      </c>
      <c r="H142" s="78">
        <f t="shared" si="256"/>
        <v>0</v>
      </c>
      <c r="I142" s="78">
        <f t="shared" si="257"/>
        <v>43.778261135392526</v>
      </c>
      <c r="J142" s="78">
        <f t="shared" si="244"/>
        <v>43.778261135392526</v>
      </c>
      <c r="K142" s="79">
        <f t="shared" si="258"/>
        <v>43.778261135392526</v>
      </c>
      <c r="L142" s="79">
        <f t="shared" si="245"/>
        <v>43.778261135392526</v>
      </c>
      <c r="M142" s="79">
        <v>0</v>
      </c>
      <c r="N142" s="79">
        <f t="shared" si="259"/>
        <v>0</v>
      </c>
      <c r="O142" s="79">
        <v>0</v>
      </c>
      <c r="P142" s="79">
        <f t="shared" si="260"/>
        <v>0</v>
      </c>
      <c r="Q142" s="79">
        <f t="shared" si="261"/>
        <v>43.778261135392526</v>
      </c>
      <c r="R142" s="79">
        <f t="shared" si="246"/>
        <v>43.778261135392526</v>
      </c>
      <c r="S142" s="80">
        <f t="shared" si="262"/>
        <v>43.778261135392526</v>
      </c>
      <c r="T142" s="80">
        <f t="shared" si="247"/>
        <v>43.778261135392526</v>
      </c>
      <c r="U142" s="80">
        <v>0</v>
      </c>
      <c r="V142" s="80">
        <f t="shared" si="263"/>
        <v>0</v>
      </c>
      <c r="W142" s="80">
        <v>0</v>
      </c>
      <c r="X142" s="80">
        <f t="shared" si="264"/>
        <v>0</v>
      </c>
      <c r="Y142" s="80">
        <f t="shared" si="265"/>
        <v>43.778261135392526</v>
      </c>
      <c r="Z142" s="80">
        <f t="shared" si="248"/>
        <v>43.778261135392526</v>
      </c>
      <c r="AA142" s="81">
        <f t="shared" si="266"/>
        <v>43.778261135392526</v>
      </c>
      <c r="AB142" s="81">
        <f t="shared" si="249"/>
        <v>43.778261135392526</v>
      </c>
      <c r="AC142" s="81">
        <v>0</v>
      </c>
      <c r="AD142" s="81">
        <f t="shared" si="267"/>
        <v>0</v>
      </c>
      <c r="AE142" s="81">
        <v>0</v>
      </c>
      <c r="AF142" s="81">
        <f t="shared" si="268"/>
        <v>0</v>
      </c>
      <c r="AG142" s="81">
        <f t="shared" si="269"/>
        <v>43.778261135392526</v>
      </c>
      <c r="AH142" s="81">
        <f t="shared" si="250"/>
        <v>43.778261135392526</v>
      </c>
      <c r="AI142" s="82">
        <f t="shared" si="270"/>
        <v>43.778261135392526</v>
      </c>
      <c r="AJ142" s="82">
        <f t="shared" si="251"/>
        <v>43.778261135392526</v>
      </c>
      <c r="AK142" s="82">
        <v>0</v>
      </c>
      <c r="AL142" s="82">
        <f t="shared" si="271"/>
        <v>0</v>
      </c>
      <c r="AM142" s="82">
        <v>0</v>
      </c>
      <c r="AN142" s="82">
        <f t="shared" si="272"/>
        <v>0</v>
      </c>
      <c r="AO142" s="82">
        <f t="shared" si="273"/>
        <v>43.778261135392526</v>
      </c>
      <c r="AP142" s="82">
        <f t="shared" si="252"/>
        <v>43.778261135392526</v>
      </c>
      <c r="AQ142" s="83">
        <f t="shared" si="274"/>
        <v>43.778261135392526</v>
      </c>
      <c r="AR142" s="83">
        <f t="shared" si="253"/>
        <v>43.778261135392526</v>
      </c>
      <c r="AS142" s="83">
        <v>0</v>
      </c>
      <c r="AT142" s="83">
        <f t="shared" si="275"/>
        <v>0</v>
      </c>
      <c r="AU142" s="83">
        <v>0</v>
      </c>
      <c r="AV142" s="83">
        <f t="shared" si="276"/>
        <v>0</v>
      </c>
      <c r="AW142" s="83">
        <f t="shared" si="277"/>
        <v>43.778261135392526</v>
      </c>
      <c r="AX142" s="83">
        <f t="shared" si="254"/>
        <v>43.778261135392526</v>
      </c>
    </row>
    <row r="143" spans="2:50" x14ac:dyDescent="0.35">
      <c r="B143" s="7" t="s">
        <v>136</v>
      </c>
      <c r="C143" s="78">
        <v>331.1953773900147</v>
      </c>
      <c r="D143" s="78">
        <v>331.1953773900147</v>
      </c>
      <c r="E143" s="78">
        <v>0</v>
      </c>
      <c r="F143" s="78">
        <f t="shared" si="255"/>
        <v>0</v>
      </c>
      <c r="G143" s="78">
        <v>0</v>
      </c>
      <c r="H143" s="78">
        <f t="shared" si="256"/>
        <v>0</v>
      </c>
      <c r="I143" s="78">
        <f t="shared" si="257"/>
        <v>331.1953773900147</v>
      </c>
      <c r="J143" s="78">
        <f t="shared" si="244"/>
        <v>331.1953773900147</v>
      </c>
      <c r="K143" s="79">
        <f t="shared" si="258"/>
        <v>331.1953773900147</v>
      </c>
      <c r="L143" s="79">
        <f t="shared" si="245"/>
        <v>331.1953773900147</v>
      </c>
      <c r="M143" s="79">
        <v>0</v>
      </c>
      <c r="N143" s="79">
        <f t="shared" si="259"/>
        <v>0</v>
      </c>
      <c r="O143" s="79">
        <v>0</v>
      </c>
      <c r="P143" s="79">
        <f t="shared" si="260"/>
        <v>0</v>
      </c>
      <c r="Q143" s="79">
        <f t="shared" si="261"/>
        <v>331.1953773900147</v>
      </c>
      <c r="R143" s="79">
        <f t="shared" si="246"/>
        <v>331.1953773900147</v>
      </c>
      <c r="S143" s="80">
        <f t="shared" si="262"/>
        <v>331.1953773900147</v>
      </c>
      <c r="T143" s="80">
        <f t="shared" si="247"/>
        <v>331.1953773900147</v>
      </c>
      <c r="U143" s="80">
        <v>0</v>
      </c>
      <c r="V143" s="80">
        <f t="shared" si="263"/>
        <v>0</v>
      </c>
      <c r="W143" s="80">
        <v>0</v>
      </c>
      <c r="X143" s="80">
        <f t="shared" si="264"/>
        <v>0</v>
      </c>
      <c r="Y143" s="80">
        <f t="shared" si="265"/>
        <v>331.1953773900147</v>
      </c>
      <c r="Z143" s="80">
        <f t="shared" si="248"/>
        <v>331.1953773900147</v>
      </c>
      <c r="AA143" s="81">
        <f t="shared" si="266"/>
        <v>331.1953773900147</v>
      </c>
      <c r="AB143" s="81">
        <f t="shared" si="249"/>
        <v>331.1953773900147</v>
      </c>
      <c r="AC143" s="81">
        <v>0</v>
      </c>
      <c r="AD143" s="81">
        <f t="shared" si="267"/>
        <v>0</v>
      </c>
      <c r="AE143" s="81">
        <v>0</v>
      </c>
      <c r="AF143" s="81">
        <f t="shared" si="268"/>
        <v>0</v>
      </c>
      <c r="AG143" s="81">
        <f t="shared" si="269"/>
        <v>331.1953773900147</v>
      </c>
      <c r="AH143" s="81">
        <f t="shared" si="250"/>
        <v>331.1953773900147</v>
      </c>
      <c r="AI143" s="82">
        <f t="shared" si="270"/>
        <v>331.1953773900147</v>
      </c>
      <c r="AJ143" s="82">
        <f t="shared" si="251"/>
        <v>331.1953773900147</v>
      </c>
      <c r="AK143" s="82">
        <v>0</v>
      </c>
      <c r="AL143" s="82">
        <f t="shared" si="271"/>
        <v>0</v>
      </c>
      <c r="AM143" s="82">
        <v>0</v>
      </c>
      <c r="AN143" s="82">
        <f t="shared" si="272"/>
        <v>0</v>
      </c>
      <c r="AO143" s="82">
        <f t="shared" si="273"/>
        <v>331.1953773900147</v>
      </c>
      <c r="AP143" s="82">
        <f t="shared" si="252"/>
        <v>331.1953773900147</v>
      </c>
      <c r="AQ143" s="83">
        <f t="shared" si="274"/>
        <v>331.1953773900147</v>
      </c>
      <c r="AR143" s="83">
        <f t="shared" si="253"/>
        <v>331.1953773900147</v>
      </c>
      <c r="AS143" s="83">
        <v>0</v>
      </c>
      <c r="AT143" s="83">
        <f t="shared" si="275"/>
        <v>0</v>
      </c>
      <c r="AU143" s="83">
        <v>0</v>
      </c>
      <c r="AV143" s="83">
        <f t="shared" si="276"/>
        <v>0</v>
      </c>
      <c r="AW143" s="83">
        <f t="shared" si="277"/>
        <v>331.1953773900147</v>
      </c>
      <c r="AX143" s="83">
        <f t="shared" si="254"/>
        <v>331.1953773900147</v>
      </c>
    </row>
    <row r="144" spans="2:50" x14ac:dyDescent="0.35">
      <c r="B144" s="7" t="s">
        <v>137</v>
      </c>
      <c r="C144" s="78">
        <v>45.23642918402264</v>
      </c>
      <c r="D144" s="78">
        <v>45.23642918402264</v>
      </c>
      <c r="E144" s="78">
        <v>0</v>
      </c>
      <c r="F144" s="78">
        <f t="shared" si="255"/>
        <v>0</v>
      </c>
      <c r="G144" s="78">
        <v>0</v>
      </c>
      <c r="H144" s="78">
        <f t="shared" si="256"/>
        <v>0</v>
      </c>
      <c r="I144" s="78">
        <f t="shared" si="257"/>
        <v>45.23642918402264</v>
      </c>
      <c r="J144" s="78">
        <f t="shared" si="244"/>
        <v>45.23642918402264</v>
      </c>
      <c r="K144" s="79">
        <f t="shared" si="258"/>
        <v>45.23642918402264</v>
      </c>
      <c r="L144" s="79">
        <f t="shared" si="245"/>
        <v>45.23642918402264</v>
      </c>
      <c r="M144" s="79">
        <v>1.7158447780000001</v>
      </c>
      <c r="N144" s="79">
        <f t="shared" si="259"/>
        <v>1.4474495664305456</v>
      </c>
      <c r="O144" s="79">
        <v>0</v>
      </c>
      <c r="P144" s="79">
        <f t="shared" si="260"/>
        <v>0</v>
      </c>
      <c r="Q144" s="79">
        <f t="shared" si="261"/>
        <v>46.952273962022637</v>
      </c>
      <c r="R144" s="79">
        <f t="shared" si="246"/>
        <v>46.683878750453182</v>
      </c>
      <c r="S144" s="80">
        <f t="shared" si="262"/>
        <v>46.952273962022637</v>
      </c>
      <c r="T144" s="80">
        <f t="shared" si="247"/>
        <v>46.683878750453182</v>
      </c>
      <c r="U144" s="80">
        <v>1.6141667199999998</v>
      </c>
      <c r="V144" s="80">
        <f t="shared" si="263"/>
        <v>1.6141667199999996</v>
      </c>
      <c r="W144" s="80">
        <v>0</v>
      </c>
      <c r="X144" s="80">
        <f t="shared" si="264"/>
        <v>0</v>
      </c>
      <c r="Y144" s="80">
        <f t="shared" si="265"/>
        <v>48.566440682022638</v>
      </c>
      <c r="Z144" s="80">
        <f t="shared" si="248"/>
        <v>48.298045470453182</v>
      </c>
      <c r="AA144" s="81">
        <f t="shared" si="266"/>
        <v>48.566440682022638</v>
      </c>
      <c r="AB144" s="81">
        <f t="shared" si="249"/>
        <v>48.298045470453182</v>
      </c>
      <c r="AC144" s="81">
        <v>0</v>
      </c>
      <c r="AD144" s="81">
        <f t="shared" si="267"/>
        <v>0</v>
      </c>
      <c r="AE144" s="81">
        <v>0</v>
      </c>
      <c r="AF144" s="81">
        <f t="shared" si="268"/>
        <v>0</v>
      </c>
      <c r="AG144" s="81">
        <f t="shared" si="269"/>
        <v>48.566440682022638</v>
      </c>
      <c r="AH144" s="81">
        <f t="shared" si="250"/>
        <v>48.298045470453182</v>
      </c>
      <c r="AI144" s="82">
        <f t="shared" si="270"/>
        <v>48.566440682022638</v>
      </c>
      <c r="AJ144" s="82">
        <f t="shared" si="251"/>
        <v>48.298045470453182</v>
      </c>
      <c r="AK144" s="82">
        <v>0</v>
      </c>
      <c r="AL144" s="82">
        <f t="shared" si="271"/>
        <v>0</v>
      </c>
      <c r="AM144" s="82">
        <v>0</v>
      </c>
      <c r="AN144" s="82">
        <f t="shared" si="272"/>
        <v>0</v>
      </c>
      <c r="AO144" s="82">
        <f t="shared" si="273"/>
        <v>48.566440682022638</v>
      </c>
      <c r="AP144" s="82">
        <f t="shared" si="252"/>
        <v>48.298045470453182</v>
      </c>
      <c r="AQ144" s="83">
        <f t="shared" si="274"/>
        <v>48.566440682022638</v>
      </c>
      <c r="AR144" s="83">
        <f t="shared" si="253"/>
        <v>48.298045470453182</v>
      </c>
      <c r="AS144" s="83">
        <v>0</v>
      </c>
      <c r="AT144" s="83">
        <f t="shared" si="275"/>
        <v>0</v>
      </c>
      <c r="AU144" s="83">
        <v>0</v>
      </c>
      <c r="AV144" s="83">
        <f t="shared" si="276"/>
        <v>0</v>
      </c>
      <c r="AW144" s="83">
        <f t="shared" si="277"/>
        <v>48.566440682022638</v>
      </c>
      <c r="AX144" s="83">
        <f t="shared" si="254"/>
        <v>48.298045470453182</v>
      </c>
    </row>
    <row r="145" spans="2:50" x14ac:dyDescent="0.35">
      <c r="B145" s="7" t="s">
        <v>138</v>
      </c>
      <c r="C145" s="78">
        <v>2444.1026798898597</v>
      </c>
      <c r="D145" s="78">
        <v>2444.1026798898597</v>
      </c>
      <c r="E145" s="78">
        <v>8.1900000000000013</v>
      </c>
      <c r="F145" s="78">
        <f t="shared" si="255"/>
        <v>7.2417571022866971</v>
      </c>
      <c r="G145" s="78">
        <v>3.742032</v>
      </c>
      <c r="H145" s="78">
        <f t="shared" si="256"/>
        <v>3.742032</v>
      </c>
      <c r="I145" s="78">
        <f t="shared" si="257"/>
        <v>2448.5506478898596</v>
      </c>
      <c r="J145" s="78">
        <f t="shared" si="244"/>
        <v>2447.6024049921461</v>
      </c>
      <c r="K145" s="79">
        <f t="shared" si="258"/>
        <v>2448.5506478898596</v>
      </c>
      <c r="L145" s="79">
        <f t="shared" si="245"/>
        <v>2447.6024049921461</v>
      </c>
      <c r="M145" s="79">
        <v>7.0362375720000001</v>
      </c>
      <c r="N145" s="79">
        <f t="shared" si="259"/>
        <v>5.9356179262118047</v>
      </c>
      <c r="O145" s="79">
        <v>0</v>
      </c>
      <c r="P145" s="79">
        <f t="shared" si="260"/>
        <v>0</v>
      </c>
      <c r="Q145" s="79">
        <f t="shared" si="261"/>
        <v>2455.5868854618598</v>
      </c>
      <c r="R145" s="79">
        <f t="shared" si="246"/>
        <v>2453.5380229183579</v>
      </c>
      <c r="S145" s="80">
        <f t="shared" si="262"/>
        <v>2455.5868854618598</v>
      </c>
      <c r="T145" s="80">
        <f t="shared" si="247"/>
        <v>2453.5380229183579</v>
      </c>
      <c r="U145" s="80">
        <v>22.045177512000002</v>
      </c>
      <c r="V145" s="80">
        <f t="shared" si="263"/>
        <v>22.045177511999999</v>
      </c>
      <c r="W145" s="80">
        <v>0</v>
      </c>
      <c r="X145" s="80">
        <f t="shared" si="264"/>
        <v>0</v>
      </c>
      <c r="Y145" s="80">
        <f t="shared" si="265"/>
        <v>2477.6320629738598</v>
      </c>
      <c r="Z145" s="80">
        <f t="shared" si="248"/>
        <v>2475.5832004303579</v>
      </c>
      <c r="AA145" s="81">
        <f t="shared" si="266"/>
        <v>2477.6320629738598</v>
      </c>
      <c r="AB145" s="81">
        <f t="shared" si="249"/>
        <v>2475.5832004303579</v>
      </c>
      <c r="AC145" s="81">
        <v>82.64</v>
      </c>
      <c r="AD145" s="81">
        <f t="shared" si="267"/>
        <v>82.562637080000016</v>
      </c>
      <c r="AE145" s="81">
        <v>0</v>
      </c>
      <c r="AF145" s="81">
        <f t="shared" si="268"/>
        <v>0</v>
      </c>
      <c r="AG145" s="81">
        <f t="shared" si="269"/>
        <v>2560.2720629738596</v>
      </c>
      <c r="AH145" s="81">
        <f t="shared" si="250"/>
        <v>2558.145837510358</v>
      </c>
      <c r="AI145" s="82">
        <f t="shared" si="270"/>
        <v>2560.2720629738596</v>
      </c>
      <c r="AJ145" s="82">
        <f t="shared" si="251"/>
        <v>2558.145837510358</v>
      </c>
      <c r="AK145" s="82">
        <v>49.14</v>
      </c>
      <c r="AL145" s="82">
        <f t="shared" si="271"/>
        <v>44.95</v>
      </c>
      <c r="AM145" s="82">
        <v>0</v>
      </c>
      <c r="AN145" s="82">
        <f t="shared" si="272"/>
        <v>0</v>
      </c>
      <c r="AO145" s="82">
        <f t="shared" si="273"/>
        <v>2609.4120629738595</v>
      </c>
      <c r="AP145" s="82">
        <f t="shared" si="252"/>
        <v>2603.0958375103578</v>
      </c>
      <c r="AQ145" s="83">
        <f t="shared" si="274"/>
        <v>2609.4120629738595</v>
      </c>
      <c r="AR145" s="83">
        <f t="shared" si="253"/>
        <v>2603.0958375103578</v>
      </c>
      <c r="AS145" s="83">
        <v>580.17999999999995</v>
      </c>
      <c r="AT145" s="83">
        <f t="shared" si="275"/>
        <v>381.66</v>
      </c>
      <c r="AU145" s="83">
        <v>0</v>
      </c>
      <c r="AV145" s="83">
        <f t="shared" si="276"/>
        <v>0</v>
      </c>
      <c r="AW145" s="83">
        <f t="shared" si="277"/>
        <v>3189.5920629738594</v>
      </c>
      <c r="AX145" s="83">
        <f t="shared" si="254"/>
        <v>2984.7558375103577</v>
      </c>
    </row>
    <row r="146" spans="2:50" x14ac:dyDescent="0.35">
      <c r="B146" s="7" t="s">
        <v>139</v>
      </c>
      <c r="C146" s="78">
        <v>4.530142979972771</v>
      </c>
      <c r="D146" s="78">
        <v>4.530142979972771</v>
      </c>
      <c r="E146" s="78">
        <v>0</v>
      </c>
      <c r="F146" s="78">
        <f t="shared" si="255"/>
        <v>0</v>
      </c>
      <c r="G146" s="78">
        <v>0</v>
      </c>
      <c r="H146" s="78">
        <f t="shared" si="256"/>
        <v>0</v>
      </c>
      <c r="I146" s="78">
        <f t="shared" si="257"/>
        <v>4.530142979972771</v>
      </c>
      <c r="J146" s="78">
        <f t="shared" si="244"/>
        <v>4.530142979972771</v>
      </c>
      <c r="K146" s="79">
        <f t="shared" si="258"/>
        <v>4.530142979972771</v>
      </c>
      <c r="L146" s="79">
        <f t="shared" si="245"/>
        <v>4.530142979972771</v>
      </c>
      <c r="M146" s="79">
        <v>0</v>
      </c>
      <c r="N146" s="79">
        <f t="shared" si="259"/>
        <v>0</v>
      </c>
      <c r="O146" s="79">
        <v>0</v>
      </c>
      <c r="P146" s="79">
        <f t="shared" si="260"/>
        <v>0</v>
      </c>
      <c r="Q146" s="79">
        <f t="shared" si="261"/>
        <v>4.530142979972771</v>
      </c>
      <c r="R146" s="79">
        <f t="shared" si="246"/>
        <v>4.530142979972771</v>
      </c>
      <c r="S146" s="80">
        <f t="shared" si="262"/>
        <v>4.530142979972771</v>
      </c>
      <c r="T146" s="80">
        <f t="shared" si="247"/>
        <v>4.530142979972771</v>
      </c>
      <c r="U146" s="80">
        <v>0</v>
      </c>
      <c r="V146" s="80">
        <f t="shared" si="263"/>
        <v>0</v>
      </c>
      <c r="W146" s="80">
        <v>0</v>
      </c>
      <c r="X146" s="80">
        <f t="shared" si="264"/>
        <v>0</v>
      </c>
      <c r="Y146" s="80">
        <f t="shared" si="265"/>
        <v>4.530142979972771</v>
      </c>
      <c r="Z146" s="80">
        <f t="shared" si="248"/>
        <v>4.530142979972771</v>
      </c>
      <c r="AA146" s="81">
        <f t="shared" si="266"/>
        <v>4.530142979972771</v>
      </c>
      <c r="AB146" s="81">
        <f t="shared" si="249"/>
        <v>4.530142979972771</v>
      </c>
      <c r="AC146" s="81">
        <v>0</v>
      </c>
      <c r="AD146" s="81">
        <f t="shared" si="267"/>
        <v>0</v>
      </c>
      <c r="AE146" s="81">
        <v>0</v>
      </c>
      <c r="AF146" s="81">
        <f t="shared" si="268"/>
        <v>0</v>
      </c>
      <c r="AG146" s="81">
        <f t="shared" si="269"/>
        <v>4.530142979972771</v>
      </c>
      <c r="AH146" s="81">
        <f t="shared" si="250"/>
        <v>4.530142979972771</v>
      </c>
      <c r="AI146" s="82">
        <f t="shared" si="270"/>
        <v>4.530142979972771</v>
      </c>
      <c r="AJ146" s="82">
        <f t="shared" si="251"/>
        <v>4.530142979972771</v>
      </c>
      <c r="AK146" s="82">
        <v>0</v>
      </c>
      <c r="AL146" s="82">
        <f t="shared" si="271"/>
        <v>0</v>
      </c>
      <c r="AM146" s="82">
        <v>0</v>
      </c>
      <c r="AN146" s="82">
        <f t="shared" si="272"/>
        <v>0</v>
      </c>
      <c r="AO146" s="82">
        <f t="shared" si="273"/>
        <v>4.530142979972771</v>
      </c>
      <c r="AP146" s="82">
        <f t="shared" si="252"/>
        <v>4.530142979972771</v>
      </c>
      <c r="AQ146" s="83">
        <f t="shared" si="274"/>
        <v>4.530142979972771</v>
      </c>
      <c r="AR146" s="83">
        <f t="shared" si="253"/>
        <v>4.530142979972771</v>
      </c>
      <c r="AS146" s="83">
        <v>0</v>
      </c>
      <c r="AT146" s="83">
        <f t="shared" si="275"/>
        <v>0</v>
      </c>
      <c r="AU146" s="83">
        <v>0</v>
      </c>
      <c r="AV146" s="83">
        <f t="shared" si="276"/>
        <v>0</v>
      </c>
      <c r="AW146" s="83">
        <f t="shared" si="277"/>
        <v>4.530142979972771</v>
      </c>
      <c r="AX146" s="83">
        <f t="shared" si="254"/>
        <v>4.530142979972771</v>
      </c>
    </row>
    <row r="147" spans="2:50" x14ac:dyDescent="0.35">
      <c r="B147" s="7" t="s">
        <v>140</v>
      </c>
      <c r="C147" s="78">
        <v>9.2497559525249642</v>
      </c>
      <c r="D147" s="78">
        <v>9.2497559525249642</v>
      </c>
      <c r="E147" s="78">
        <v>0</v>
      </c>
      <c r="F147" s="78">
        <f t="shared" si="255"/>
        <v>0</v>
      </c>
      <c r="G147" s="78">
        <v>0</v>
      </c>
      <c r="H147" s="78">
        <f t="shared" si="256"/>
        <v>0</v>
      </c>
      <c r="I147" s="78">
        <f t="shared" si="257"/>
        <v>9.2497559525249642</v>
      </c>
      <c r="J147" s="78">
        <f t="shared" si="244"/>
        <v>9.2497559525249642</v>
      </c>
      <c r="K147" s="79">
        <f t="shared" si="258"/>
        <v>9.2497559525249642</v>
      </c>
      <c r="L147" s="79">
        <f t="shared" si="245"/>
        <v>9.2497559525249642</v>
      </c>
      <c r="M147" s="79">
        <v>0</v>
      </c>
      <c r="N147" s="79">
        <f t="shared" si="259"/>
        <v>0</v>
      </c>
      <c r="O147" s="79">
        <v>0</v>
      </c>
      <c r="P147" s="79">
        <f t="shared" si="260"/>
        <v>0</v>
      </c>
      <c r="Q147" s="79">
        <f t="shared" si="261"/>
        <v>9.2497559525249642</v>
      </c>
      <c r="R147" s="79">
        <f t="shared" si="246"/>
        <v>9.2497559525249642</v>
      </c>
      <c r="S147" s="80">
        <f t="shared" si="262"/>
        <v>9.2497559525249642</v>
      </c>
      <c r="T147" s="80">
        <f t="shared" si="247"/>
        <v>9.2497559525249642</v>
      </c>
      <c r="U147" s="80">
        <v>0</v>
      </c>
      <c r="V147" s="80">
        <f t="shared" si="263"/>
        <v>0</v>
      </c>
      <c r="W147" s="80">
        <v>0</v>
      </c>
      <c r="X147" s="80">
        <f t="shared" si="264"/>
        <v>0</v>
      </c>
      <c r="Y147" s="80">
        <f t="shared" si="265"/>
        <v>9.2497559525249642</v>
      </c>
      <c r="Z147" s="80">
        <f t="shared" si="248"/>
        <v>9.2497559525249642</v>
      </c>
      <c r="AA147" s="81">
        <f t="shared" si="266"/>
        <v>9.2497559525249642</v>
      </c>
      <c r="AB147" s="81">
        <f t="shared" si="249"/>
        <v>9.2497559525249642</v>
      </c>
      <c r="AC147" s="81">
        <v>0</v>
      </c>
      <c r="AD147" s="81">
        <f t="shared" si="267"/>
        <v>0</v>
      </c>
      <c r="AE147" s="81">
        <v>0</v>
      </c>
      <c r="AF147" s="81">
        <f t="shared" si="268"/>
        <v>0</v>
      </c>
      <c r="AG147" s="81">
        <f t="shared" si="269"/>
        <v>9.2497559525249642</v>
      </c>
      <c r="AH147" s="81">
        <f t="shared" si="250"/>
        <v>9.2497559525249642</v>
      </c>
      <c r="AI147" s="82">
        <f t="shared" si="270"/>
        <v>9.2497559525249642</v>
      </c>
      <c r="AJ147" s="82">
        <f t="shared" si="251"/>
        <v>9.2497559525249642</v>
      </c>
      <c r="AK147" s="82">
        <v>0</v>
      </c>
      <c r="AL147" s="82">
        <f t="shared" si="271"/>
        <v>0</v>
      </c>
      <c r="AM147" s="82">
        <v>0</v>
      </c>
      <c r="AN147" s="82">
        <f t="shared" si="272"/>
        <v>0</v>
      </c>
      <c r="AO147" s="82">
        <f t="shared" si="273"/>
        <v>9.2497559525249642</v>
      </c>
      <c r="AP147" s="82">
        <f t="shared" si="252"/>
        <v>9.2497559525249642</v>
      </c>
      <c r="AQ147" s="83">
        <f t="shared" si="274"/>
        <v>9.2497559525249642</v>
      </c>
      <c r="AR147" s="83">
        <f t="shared" si="253"/>
        <v>9.2497559525249642</v>
      </c>
      <c r="AS147" s="83">
        <v>0</v>
      </c>
      <c r="AT147" s="83">
        <f t="shared" si="275"/>
        <v>0</v>
      </c>
      <c r="AU147" s="83">
        <v>0</v>
      </c>
      <c r="AV147" s="83">
        <f t="shared" si="276"/>
        <v>0</v>
      </c>
      <c r="AW147" s="83">
        <f t="shared" si="277"/>
        <v>9.2497559525249642</v>
      </c>
      <c r="AX147" s="83">
        <f t="shared" si="254"/>
        <v>9.2497559525249642</v>
      </c>
    </row>
    <row r="148" spans="2:50" x14ac:dyDescent="0.35">
      <c r="B148" s="7" t="s">
        <v>141</v>
      </c>
      <c r="C148" s="78">
        <v>15.271253379965787</v>
      </c>
      <c r="D148" s="78">
        <v>15.271253379965787</v>
      </c>
      <c r="E148" s="78">
        <v>0</v>
      </c>
      <c r="F148" s="78">
        <f t="shared" si="255"/>
        <v>0</v>
      </c>
      <c r="G148" s="78">
        <v>0</v>
      </c>
      <c r="H148" s="78">
        <f t="shared" si="256"/>
        <v>0</v>
      </c>
      <c r="I148" s="78">
        <f t="shared" si="257"/>
        <v>15.271253379965787</v>
      </c>
      <c r="J148" s="78">
        <f t="shared" si="244"/>
        <v>15.271253379965787</v>
      </c>
      <c r="K148" s="79">
        <f t="shared" si="258"/>
        <v>15.271253379965787</v>
      </c>
      <c r="L148" s="79">
        <f t="shared" si="245"/>
        <v>15.271253379965787</v>
      </c>
      <c r="M148" s="79">
        <v>0</v>
      </c>
      <c r="N148" s="79">
        <f t="shared" si="259"/>
        <v>0</v>
      </c>
      <c r="O148" s="79">
        <v>0</v>
      </c>
      <c r="P148" s="79">
        <f t="shared" si="260"/>
        <v>0</v>
      </c>
      <c r="Q148" s="79">
        <f t="shared" si="261"/>
        <v>15.271253379965787</v>
      </c>
      <c r="R148" s="79">
        <f t="shared" si="246"/>
        <v>15.271253379965787</v>
      </c>
      <c r="S148" s="80">
        <f t="shared" si="262"/>
        <v>15.271253379965787</v>
      </c>
      <c r="T148" s="80">
        <f t="shared" si="247"/>
        <v>15.271253379965787</v>
      </c>
      <c r="U148" s="80">
        <v>0</v>
      </c>
      <c r="V148" s="80">
        <f t="shared" si="263"/>
        <v>0</v>
      </c>
      <c r="W148" s="80">
        <v>0</v>
      </c>
      <c r="X148" s="80">
        <f t="shared" si="264"/>
        <v>0</v>
      </c>
      <c r="Y148" s="80">
        <f t="shared" si="265"/>
        <v>15.271253379965787</v>
      </c>
      <c r="Z148" s="80">
        <f t="shared" si="248"/>
        <v>15.271253379965787</v>
      </c>
      <c r="AA148" s="81">
        <f t="shared" si="266"/>
        <v>15.271253379965787</v>
      </c>
      <c r="AB148" s="81">
        <f t="shared" si="249"/>
        <v>15.271253379965787</v>
      </c>
      <c r="AC148" s="81">
        <v>0</v>
      </c>
      <c r="AD148" s="81">
        <f t="shared" si="267"/>
        <v>0</v>
      </c>
      <c r="AE148" s="81">
        <v>0</v>
      </c>
      <c r="AF148" s="81">
        <f t="shared" si="268"/>
        <v>0</v>
      </c>
      <c r="AG148" s="81">
        <f t="shared" si="269"/>
        <v>15.271253379965787</v>
      </c>
      <c r="AH148" s="81">
        <f t="shared" si="250"/>
        <v>15.271253379965787</v>
      </c>
      <c r="AI148" s="82">
        <f t="shared" si="270"/>
        <v>15.271253379965787</v>
      </c>
      <c r="AJ148" s="82">
        <f t="shared" si="251"/>
        <v>15.271253379965787</v>
      </c>
      <c r="AK148" s="82">
        <v>0</v>
      </c>
      <c r="AL148" s="82">
        <f t="shared" si="271"/>
        <v>0</v>
      </c>
      <c r="AM148" s="82">
        <v>0</v>
      </c>
      <c r="AN148" s="82">
        <f t="shared" si="272"/>
        <v>0</v>
      </c>
      <c r="AO148" s="82">
        <f t="shared" si="273"/>
        <v>15.271253379965787</v>
      </c>
      <c r="AP148" s="82">
        <f t="shared" si="252"/>
        <v>15.271253379965787</v>
      </c>
      <c r="AQ148" s="83">
        <f t="shared" si="274"/>
        <v>15.271253379965787</v>
      </c>
      <c r="AR148" s="83">
        <f t="shared" si="253"/>
        <v>15.271253379965787</v>
      </c>
      <c r="AS148" s="83">
        <v>0</v>
      </c>
      <c r="AT148" s="83">
        <f t="shared" si="275"/>
        <v>0</v>
      </c>
      <c r="AU148" s="83">
        <v>0</v>
      </c>
      <c r="AV148" s="83">
        <f t="shared" si="276"/>
        <v>0</v>
      </c>
      <c r="AW148" s="83">
        <f t="shared" si="277"/>
        <v>15.271253379965787</v>
      </c>
      <c r="AX148" s="83">
        <f t="shared" si="254"/>
        <v>15.271253379965787</v>
      </c>
    </row>
    <row r="149" spans="2:50" x14ac:dyDescent="0.35">
      <c r="B149" s="7" t="s">
        <v>142</v>
      </c>
      <c r="C149" s="78">
        <v>0.41514803235327385</v>
      </c>
      <c r="D149" s="78">
        <v>0.41514803235327385</v>
      </c>
      <c r="E149" s="78">
        <v>0.34652604999999997</v>
      </c>
      <c r="F149" s="78">
        <f t="shared" si="255"/>
        <v>0.30640506516664889</v>
      </c>
      <c r="G149" s="78">
        <v>0</v>
      </c>
      <c r="H149" s="78">
        <f t="shared" si="256"/>
        <v>0</v>
      </c>
      <c r="I149" s="78">
        <f t="shared" si="257"/>
        <v>0.76167408235327383</v>
      </c>
      <c r="J149" s="78">
        <f t="shared" si="244"/>
        <v>0.72155309751992269</v>
      </c>
      <c r="K149" s="79">
        <f t="shared" si="258"/>
        <v>0.76167408235327383</v>
      </c>
      <c r="L149" s="79">
        <f t="shared" si="245"/>
        <v>0.72155309751992269</v>
      </c>
      <c r="M149" s="79">
        <v>0</v>
      </c>
      <c r="N149" s="79">
        <f t="shared" si="259"/>
        <v>0</v>
      </c>
      <c r="O149" s="79">
        <v>0</v>
      </c>
      <c r="P149" s="79">
        <f t="shared" si="260"/>
        <v>0</v>
      </c>
      <c r="Q149" s="79">
        <f t="shared" si="261"/>
        <v>0.76167408235327383</v>
      </c>
      <c r="R149" s="79">
        <f t="shared" si="246"/>
        <v>0.72155309751992269</v>
      </c>
      <c r="S149" s="80">
        <f t="shared" si="262"/>
        <v>0.76167408235327383</v>
      </c>
      <c r="T149" s="80">
        <f t="shared" si="247"/>
        <v>0.72155309751992269</v>
      </c>
      <c r="U149" s="80">
        <v>1.7765</v>
      </c>
      <c r="V149" s="80">
        <f t="shared" si="263"/>
        <v>1.7765</v>
      </c>
      <c r="W149" s="80">
        <v>0</v>
      </c>
      <c r="X149" s="80">
        <f t="shared" si="264"/>
        <v>0</v>
      </c>
      <c r="Y149" s="80">
        <f t="shared" si="265"/>
        <v>2.5381740823532737</v>
      </c>
      <c r="Z149" s="80">
        <f t="shared" si="248"/>
        <v>2.4980530975199224</v>
      </c>
      <c r="AA149" s="81">
        <f t="shared" si="266"/>
        <v>2.5381740823532737</v>
      </c>
      <c r="AB149" s="81">
        <f t="shared" si="249"/>
        <v>2.4980530975199224</v>
      </c>
      <c r="AC149" s="81">
        <v>0</v>
      </c>
      <c r="AD149" s="81">
        <f t="shared" si="267"/>
        <v>0</v>
      </c>
      <c r="AE149" s="81">
        <v>0</v>
      </c>
      <c r="AF149" s="81">
        <f t="shared" si="268"/>
        <v>0</v>
      </c>
      <c r="AG149" s="81">
        <f t="shared" si="269"/>
        <v>2.5381740823532737</v>
      </c>
      <c r="AH149" s="81">
        <f t="shared" si="250"/>
        <v>2.4980530975199224</v>
      </c>
      <c r="AI149" s="82">
        <f t="shared" si="270"/>
        <v>2.5381740823532737</v>
      </c>
      <c r="AJ149" s="82">
        <f t="shared" si="251"/>
        <v>2.4980530975199224</v>
      </c>
      <c r="AK149" s="82">
        <v>0</v>
      </c>
      <c r="AL149" s="82">
        <f t="shared" si="271"/>
        <v>0</v>
      </c>
      <c r="AM149" s="82">
        <v>0</v>
      </c>
      <c r="AN149" s="82">
        <f t="shared" si="272"/>
        <v>0</v>
      </c>
      <c r="AO149" s="82">
        <f t="shared" si="273"/>
        <v>2.5381740823532737</v>
      </c>
      <c r="AP149" s="82">
        <f t="shared" si="252"/>
        <v>2.4980530975199224</v>
      </c>
      <c r="AQ149" s="83">
        <f t="shared" si="274"/>
        <v>2.5381740823532737</v>
      </c>
      <c r="AR149" s="83">
        <f t="shared" si="253"/>
        <v>2.4980530975199224</v>
      </c>
      <c r="AS149" s="83">
        <v>0</v>
      </c>
      <c r="AT149" s="83">
        <f t="shared" si="275"/>
        <v>0</v>
      </c>
      <c r="AU149" s="83">
        <v>0</v>
      </c>
      <c r="AV149" s="83">
        <f t="shared" si="276"/>
        <v>0</v>
      </c>
      <c r="AW149" s="83">
        <f t="shared" si="277"/>
        <v>2.5381740823532737</v>
      </c>
      <c r="AX149" s="83">
        <f t="shared" si="254"/>
        <v>2.4980530975199224</v>
      </c>
    </row>
    <row r="150" spans="2:50" x14ac:dyDescent="0.35">
      <c r="B150" s="7" t="s">
        <v>143</v>
      </c>
      <c r="C150" s="78">
        <v>11.916632868252782</v>
      </c>
      <c r="D150" s="78">
        <v>11.916632868252782</v>
      </c>
      <c r="E150" s="78">
        <v>0.32214715399999999</v>
      </c>
      <c r="F150" s="78">
        <f t="shared" si="255"/>
        <v>0.28484877172905321</v>
      </c>
      <c r="G150" s="78">
        <v>0</v>
      </c>
      <c r="H150" s="78">
        <f t="shared" si="256"/>
        <v>0</v>
      </c>
      <c r="I150" s="78">
        <f t="shared" si="257"/>
        <v>12.238780022252781</v>
      </c>
      <c r="J150" s="78">
        <f t="shared" si="244"/>
        <v>12.201481639981834</v>
      </c>
      <c r="K150" s="79">
        <f t="shared" si="258"/>
        <v>12.238780022252781</v>
      </c>
      <c r="L150" s="79">
        <f t="shared" si="245"/>
        <v>12.201481639981834</v>
      </c>
      <c r="M150" s="79">
        <v>0.144200774</v>
      </c>
      <c r="N150" s="79">
        <f t="shared" si="259"/>
        <v>0.1216446560210058</v>
      </c>
      <c r="O150" s="79">
        <v>0</v>
      </c>
      <c r="P150" s="79">
        <f t="shared" si="260"/>
        <v>0</v>
      </c>
      <c r="Q150" s="79">
        <f t="shared" si="261"/>
        <v>12.382980796252781</v>
      </c>
      <c r="R150" s="79">
        <f t="shared" si="246"/>
        <v>12.32312629600284</v>
      </c>
      <c r="S150" s="80">
        <f t="shared" si="262"/>
        <v>12.382980796252781</v>
      </c>
      <c r="T150" s="80">
        <f t="shared" si="247"/>
        <v>12.32312629600284</v>
      </c>
      <c r="U150" s="80">
        <v>0.12928772699999999</v>
      </c>
      <c r="V150" s="80">
        <f t="shared" si="263"/>
        <v>0.12928772699999996</v>
      </c>
      <c r="W150" s="80">
        <v>0</v>
      </c>
      <c r="X150" s="80">
        <f t="shared" si="264"/>
        <v>0</v>
      </c>
      <c r="Y150" s="80">
        <f t="shared" si="265"/>
        <v>12.51226852325278</v>
      </c>
      <c r="Z150" s="80">
        <f t="shared" si="248"/>
        <v>12.45241402300284</v>
      </c>
      <c r="AA150" s="81">
        <f t="shared" si="266"/>
        <v>12.51226852325278</v>
      </c>
      <c r="AB150" s="81">
        <f t="shared" si="249"/>
        <v>12.45241402300284</v>
      </c>
      <c r="AC150" s="81">
        <v>0</v>
      </c>
      <c r="AD150" s="81">
        <f t="shared" si="267"/>
        <v>0</v>
      </c>
      <c r="AE150" s="81">
        <v>0</v>
      </c>
      <c r="AF150" s="81">
        <f t="shared" si="268"/>
        <v>0</v>
      </c>
      <c r="AG150" s="81">
        <f t="shared" si="269"/>
        <v>12.51226852325278</v>
      </c>
      <c r="AH150" s="81">
        <f t="shared" si="250"/>
        <v>12.45241402300284</v>
      </c>
      <c r="AI150" s="82">
        <f t="shared" si="270"/>
        <v>12.51226852325278</v>
      </c>
      <c r="AJ150" s="82">
        <f t="shared" si="251"/>
        <v>12.45241402300284</v>
      </c>
      <c r="AK150" s="82">
        <v>0</v>
      </c>
      <c r="AL150" s="82">
        <f t="shared" si="271"/>
        <v>0</v>
      </c>
      <c r="AM150" s="82">
        <v>0</v>
      </c>
      <c r="AN150" s="82">
        <f t="shared" si="272"/>
        <v>0</v>
      </c>
      <c r="AO150" s="82">
        <f t="shared" si="273"/>
        <v>12.51226852325278</v>
      </c>
      <c r="AP150" s="82">
        <f t="shared" si="252"/>
        <v>12.45241402300284</v>
      </c>
      <c r="AQ150" s="83">
        <f t="shared" si="274"/>
        <v>12.51226852325278</v>
      </c>
      <c r="AR150" s="83">
        <f t="shared" si="253"/>
        <v>12.45241402300284</v>
      </c>
      <c r="AS150" s="83">
        <v>0</v>
      </c>
      <c r="AT150" s="83">
        <f t="shared" si="275"/>
        <v>0</v>
      </c>
      <c r="AU150" s="83">
        <v>0</v>
      </c>
      <c r="AV150" s="83">
        <f t="shared" si="276"/>
        <v>0</v>
      </c>
      <c r="AW150" s="83">
        <f t="shared" si="277"/>
        <v>12.51226852325278</v>
      </c>
      <c r="AX150" s="83">
        <f t="shared" si="254"/>
        <v>12.45241402300284</v>
      </c>
    </row>
    <row r="151" spans="2:50" x14ac:dyDescent="0.35">
      <c r="B151" s="7" t="s">
        <v>144</v>
      </c>
      <c r="C151" s="78">
        <v>1.2828215334536546</v>
      </c>
      <c r="D151" s="78">
        <v>1.2828215334536546</v>
      </c>
      <c r="E151" s="78">
        <v>0.65455539100000004</v>
      </c>
      <c r="F151" s="78">
        <f t="shared" si="255"/>
        <v>0.5787705923826979</v>
      </c>
      <c r="G151" s="78">
        <v>0</v>
      </c>
      <c r="H151" s="78">
        <f t="shared" si="256"/>
        <v>0</v>
      </c>
      <c r="I151" s="78">
        <f t="shared" si="257"/>
        <v>1.9373769244536545</v>
      </c>
      <c r="J151" s="78">
        <f t="shared" si="244"/>
        <v>1.8615921258363524</v>
      </c>
      <c r="K151" s="79">
        <f t="shared" si="258"/>
        <v>1.9373769244536545</v>
      </c>
      <c r="L151" s="79">
        <f t="shared" si="245"/>
        <v>1.8615921258363524</v>
      </c>
      <c r="M151" s="79">
        <v>1.050828257</v>
      </c>
      <c r="N151" s="79">
        <f t="shared" si="259"/>
        <v>0.88645600376540346</v>
      </c>
      <c r="O151" s="79">
        <v>0</v>
      </c>
      <c r="P151" s="79">
        <f t="shared" si="260"/>
        <v>0</v>
      </c>
      <c r="Q151" s="79">
        <f t="shared" si="261"/>
        <v>2.9882051814536545</v>
      </c>
      <c r="R151" s="79">
        <f t="shared" si="246"/>
        <v>2.7480481296017558</v>
      </c>
      <c r="S151" s="80">
        <f t="shared" si="262"/>
        <v>2.9882051814536545</v>
      </c>
      <c r="T151" s="80">
        <f t="shared" si="247"/>
        <v>2.7480481296017558</v>
      </c>
      <c r="U151" s="80">
        <v>0.30707588799999996</v>
      </c>
      <c r="V151" s="80">
        <f t="shared" si="263"/>
        <v>0.30707588799999991</v>
      </c>
      <c r="W151" s="80">
        <v>0</v>
      </c>
      <c r="X151" s="80">
        <f t="shared" si="264"/>
        <v>0</v>
      </c>
      <c r="Y151" s="80">
        <f t="shared" si="265"/>
        <v>3.2952810694536545</v>
      </c>
      <c r="Z151" s="80">
        <f t="shared" si="248"/>
        <v>3.0551240176017558</v>
      </c>
      <c r="AA151" s="81">
        <f t="shared" si="266"/>
        <v>3.2952810694536545</v>
      </c>
      <c r="AB151" s="81">
        <f t="shared" si="249"/>
        <v>3.0551240176017558</v>
      </c>
      <c r="AC151" s="81">
        <v>0</v>
      </c>
      <c r="AD151" s="81">
        <f t="shared" si="267"/>
        <v>0</v>
      </c>
      <c r="AE151" s="81">
        <v>0</v>
      </c>
      <c r="AF151" s="81">
        <f t="shared" si="268"/>
        <v>0</v>
      </c>
      <c r="AG151" s="81">
        <f t="shared" si="269"/>
        <v>3.2952810694536545</v>
      </c>
      <c r="AH151" s="81">
        <f t="shared" si="250"/>
        <v>3.0551240176017558</v>
      </c>
      <c r="AI151" s="82">
        <f t="shared" si="270"/>
        <v>3.2952810694536545</v>
      </c>
      <c r="AJ151" s="82">
        <f t="shared" si="251"/>
        <v>3.0551240176017558</v>
      </c>
      <c r="AK151" s="82">
        <v>0</v>
      </c>
      <c r="AL151" s="82">
        <f t="shared" si="271"/>
        <v>0</v>
      </c>
      <c r="AM151" s="82">
        <v>0</v>
      </c>
      <c r="AN151" s="82">
        <f t="shared" si="272"/>
        <v>0</v>
      </c>
      <c r="AO151" s="82">
        <f t="shared" si="273"/>
        <v>3.2952810694536545</v>
      </c>
      <c r="AP151" s="82">
        <f t="shared" si="252"/>
        <v>3.0551240176017558</v>
      </c>
      <c r="AQ151" s="83">
        <f t="shared" si="274"/>
        <v>3.2952810694536545</v>
      </c>
      <c r="AR151" s="83">
        <f t="shared" si="253"/>
        <v>3.0551240176017558</v>
      </c>
      <c r="AS151" s="83">
        <v>0</v>
      </c>
      <c r="AT151" s="83">
        <f t="shared" si="275"/>
        <v>0</v>
      </c>
      <c r="AU151" s="83">
        <v>0</v>
      </c>
      <c r="AV151" s="83">
        <f t="shared" si="276"/>
        <v>0</v>
      </c>
      <c r="AW151" s="83">
        <f t="shared" si="277"/>
        <v>3.2952810694536545</v>
      </c>
      <c r="AX151" s="83">
        <f t="shared" si="254"/>
        <v>3.0551240176017558</v>
      </c>
    </row>
    <row r="152" spans="2:50" x14ac:dyDescent="0.35">
      <c r="B152" s="7" t="s">
        <v>145</v>
      </c>
      <c r="C152" s="78">
        <v>0</v>
      </c>
      <c r="D152" s="78">
        <v>0</v>
      </c>
      <c r="E152" s="78">
        <v>0</v>
      </c>
      <c r="F152" s="78">
        <f t="shared" si="255"/>
        <v>0</v>
      </c>
      <c r="G152" s="78">
        <v>0</v>
      </c>
      <c r="H152" s="78">
        <f t="shared" si="256"/>
        <v>0</v>
      </c>
      <c r="I152" s="78">
        <f t="shared" si="257"/>
        <v>0</v>
      </c>
      <c r="J152" s="78">
        <f t="shared" si="244"/>
        <v>0</v>
      </c>
      <c r="K152" s="79">
        <f t="shared" si="258"/>
        <v>0</v>
      </c>
      <c r="L152" s="79">
        <f t="shared" si="245"/>
        <v>0</v>
      </c>
      <c r="M152" s="79">
        <v>0</v>
      </c>
      <c r="N152" s="79">
        <f t="shared" si="259"/>
        <v>0</v>
      </c>
      <c r="O152" s="79">
        <v>0</v>
      </c>
      <c r="P152" s="79">
        <f t="shared" si="260"/>
        <v>0</v>
      </c>
      <c r="Q152" s="79">
        <f t="shared" si="261"/>
        <v>0</v>
      </c>
      <c r="R152" s="79">
        <f t="shared" si="246"/>
        <v>0</v>
      </c>
      <c r="S152" s="80">
        <f t="shared" si="262"/>
        <v>0</v>
      </c>
      <c r="T152" s="80">
        <f t="shared" si="247"/>
        <v>0</v>
      </c>
      <c r="U152" s="80">
        <v>0</v>
      </c>
      <c r="V152" s="80">
        <f t="shared" si="263"/>
        <v>0</v>
      </c>
      <c r="W152" s="80">
        <v>0</v>
      </c>
      <c r="X152" s="80">
        <f t="shared" si="264"/>
        <v>0</v>
      </c>
      <c r="Y152" s="80">
        <f t="shared" si="265"/>
        <v>0</v>
      </c>
      <c r="Z152" s="80">
        <f t="shared" si="248"/>
        <v>0</v>
      </c>
      <c r="AA152" s="81">
        <f t="shared" si="266"/>
        <v>0</v>
      </c>
      <c r="AB152" s="81">
        <f t="shared" si="249"/>
        <v>0</v>
      </c>
      <c r="AC152" s="81">
        <v>0</v>
      </c>
      <c r="AD152" s="81">
        <f t="shared" si="267"/>
        <v>0</v>
      </c>
      <c r="AE152" s="81">
        <v>0</v>
      </c>
      <c r="AF152" s="81">
        <f t="shared" si="268"/>
        <v>0</v>
      </c>
      <c r="AG152" s="81">
        <f t="shared" si="269"/>
        <v>0</v>
      </c>
      <c r="AH152" s="81">
        <f t="shared" si="250"/>
        <v>0</v>
      </c>
      <c r="AI152" s="82">
        <f t="shared" si="270"/>
        <v>0</v>
      </c>
      <c r="AJ152" s="82">
        <f t="shared" si="251"/>
        <v>0</v>
      </c>
      <c r="AK152" s="82">
        <v>0</v>
      </c>
      <c r="AL152" s="82">
        <f t="shared" si="271"/>
        <v>0</v>
      </c>
      <c r="AM152" s="82">
        <v>0</v>
      </c>
      <c r="AN152" s="82">
        <f t="shared" si="272"/>
        <v>0</v>
      </c>
      <c r="AO152" s="82">
        <f t="shared" si="273"/>
        <v>0</v>
      </c>
      <c r="AP152" s="82">
        <f t="shared" si="252"/>
        <v>0</v>
      </c>
      <c r="AQ152" s="83">
        <f t="shared" si="274"/>
        <v>0</v>
      </c>
      <c r="AR152" s="83">
        <f t="shared" si="253"/>
        <v>0</v>
      </c>
      <c r="AS152" s="83">
        <v>0</v>
      </c>
      <c r="AT152" s="83">
        <f t="shared" si="275"/>
        <v>0</v>
      </c>
      <c r="AU152" s="83">
        <v>0</v>
      </c>
      <c r="AV152" s="83">
        <f t="shared" si="276"/>
        <v>0</v>
      </c>
      <c r="AW152" s="83">
        <f t="shared" si="277"/>
        <v>0</v>
      </c>
      <c r="AX152" s="83">
        <f t="shared" si="254"/>
        <v>0</v>
      </c>
    </row>
    <row r="153" spans="2:50" x14ac:dyDescent="0.35">
      <c r="B153" s="7" t="s">
        <v>146</v>
      </c>
      <c r="C153" s="78">
        <v>0</v>
      </c>
      <c r="D153" s="78">
        <v>0</v>
      </c>
      <c r="E153" s="78">
        <v>0</v>
      </c>
      <c r="F153" s="78">
        <f t="shared" si="255"/>
        <v>0</v>
      </c>
      <c r="G153" s="78">
        <v>0</v>
      </c>
      <c r="H153" s="78">
        <f t="shared" si="256"/>
        <v>0</v>
      </c>
      <c r="I153" s="78">
        <f t="shared" si="257"/>
        <v>0</v>
      </c>
      <c r="J153" s="78">
        <f t="shared" si="244"/>
        <v>0</v>
      </c>
      <c r="K153" s="79">
        <f t="shared" si="258"/>
        <v>0</v>
      </c>
      <c r="L153" s="79">
        <f t="shared" si="245"/>
        <v>0</v>
      </c>
      <c r="M153" s="79">
        <v>0</v>
      </c>
      <c r="N153" s="79">
        <f t="shared" si="259"/>
        <v>0</v>
      </c>
      <c r="O153" s="79">
        <v>0</v>
      </c>
      <c r="P153" s="79">
        <f t="shared" si="260"/>
        <v>0</v>
      </c>
      <c r="Q153" s="79">
        <f t="shared" si="261"/>
        <v>0</v>
      </c>
      <c r="R153" s="79">
        <f t="shared" si="246"/>
        <v>0</v>
      </c>
      <c r="S153" s="80">
        <f t="shared" si="262"/>
        <v>0</v>
      </c>
      <c r="T153" s="80">
        <f t="shared" si="247"/>
        <v>0</v>
      </c>
      <c r="U153" s="80">
        <v>0</v>
      </c>
      <c r="V153" s="80">
        <f t="shared" si="263"/>
        <v>0</v>
      </c>
      <c r="W153" s="80">
        <v>0</v>
      </c>
      <c r="X153" s="80">
        <f t="shared" si="264"/>
        <v>0</v>
      </c>
      <c r="Y153" s="80">
        <f t="shared" si="265"/>
        <v>0</v>
      </c>
      <c r="Z153" s="80">
        <f t="shared" si="248"/>
        <v>0</v>
      </c>
      <c r="AA153" s="81">
        <f t="shared" si="266"/>
        <v>0</v>
      </c>
      <c r="AB153" s="81">
        <f t="shared" si="249"/>
        <v>0</v>
      </c>
      <c r="AC153" s="81">
        <v>0</v>
      </c>
      <c r="AD153" s="81">
        <f t="shared" si="267"/>
        <v>0</v>
      </c>
      <c r="AE153" s="81">
        <v>0</v>
      </c>
      <c r="AF153" s="81">
        <f t="shared" si="268"/>
        <v>0</v>
      </c>
      <c r="AG153" s="81">
        <f t="shared" si="269"/>
        <v>0</v>
      </c>
      <c r="AH153" s="81">
        <f t="shared" si="250"/>
        <v>0</v>
      </c>
      <c r="AI153" s="82">
        <f t="shared" si="270"/>
        <v>0</v>
      </c>
      <c r="AJ153" s="82">
        <f t="shared" si="251"/>
        <v>0</v>
      </c>
      <c r="AK153" s="82">
        <v>0</v>
      </c>
      <c r="AL153" s="82">
        <f t="shared" si="271"/>
        <v>0</v>
      </c>
      <c r="AM153" s="82">
        <v>0</v>
      </c>
      <c r="AN153" s="82">
        <f t="shared" si="272"/>
        <v>0</v>
      </c>
      <c r="AO153" s="82">
        <f t="shared" si="273"/>
        <v>0</v>
      </c>
      <c r="AP153" s="82">
        <f t="shared" si="252"/>
        <v>0</v>
      </c>
      <c r="AQ153" s="83">
        <f t="shared" si="274"/>
        <v>0</v>
      </c>
      <c r="AR153" s="83">
        <f t="shared" si="253"/>
        <v>0</v>
      </c>
      <c r="AS153" s="83">
        <v>0</v>
      </c>
      <c r="AT153" s="83">
        <f t="shared" si="275"/>
        <v>0</v>
      </c>
      <c r="AU153" s="83">
        <v>0</v>
      </c>
      <c r="AV153" s="83">
        <f t="shared" si="276"/>
        <v>0</v>
      </c>
      <c r="AW153" s="83">
        <f t="shared" si="277"/>
        <v>0</v>
      </c>
      <c r="AX153" s="83">
        <f t="shared" si="254"/>
        <v>0</v>
      </c>
    </row>
    <row r="154" spans="2:50" x14ac:dyDescent="0.35">
      <c r="B154" s="7" t="s">
        <v>147</v>
      </c>
      <c r="C154" s="78">
        <v>0</v>
      </c>
      <c r="D154" s="78">
        <v>0</v>
      </c>
      <c r="E154" s="78">
        <v>0</v>
      </c>
      <c r="F154" s="78">
        <f t="shared" si="255"/>
        <v>0</v>
      </c>
      <c r="G154" s="78">
        <v>0</v>
      </c>
      <c r="H154" s="78">
        <f t="shared" si="256"/>
        <v>0</v>
      </c>
      <c r="I154" s="78">
        <f t="shared" si="257"/>
        <v>0</v>
      </c>
      <c r="J154" s="78">
        <f t="shared" si="244"/>
        <v>0</v>
      </c>
      <c r="K154" s="79">
        <f t="shared" si="258"/>
        <v>0</v>
      </c>
      <c r="L154" s="79">
        <f t="shared" si="245"/>
        <v>0</v>
      </c>
      <c r="M154" s="79">
        <v>0</v>
      </c>
      <c r="N154" s="79">
        <f t="shared" si="259"/>
        <v>0</v>
      </c>
      <c r="O154" s="79">
        <v>0</v>
      </c>
      <c r="P154" s="79">
        <f t="shared" si="260"/>
        <v>0</v>
      </c>
      <c r="Q154" s="79">
        <f t="shared" si="261"/>
        <v>0</v>
      </c>
      <c r="R154" s="79">
        <f t="shared" si="246"/>
        <v>0</v>
      </c>
      <c r="S154" s="80">
        <f t="shared" si="262"/>
        <v>0</v>
      </c>
      <c r="T154" s="80">
        <f t="shared" si="247"/>
        <v>0</v>
      </c>
      <c r="U154" s="80">
        <v>0</v>
      </c>
      <c r="V154" s="80">
        <f t="shared" si="263"/>
        <v>0</v>
      </c>
      <c r="W154" s="80">
        <v>0</v>
      </c>
      <c r="X154" s="80">
        <f t="shared" si="264"/>
        <v>0</v>
      </c>
      <c r="Y154" s="80">
        <f t="shared" si="265"/>
        <v>0</v>
      </c>
      <c r="Z154" s="80">
        <f t="shared" si="248"/>
        <v>0</v>
      </c>
      <c r="AA154" s="81">
        <f t="shared" si="266"/>
        <v>0</v>
      </c>
      <c r="AB154" s="81">
        <f t="shared" si="249"/>
        <v>0</v>
      </c>
      <c r="AC154" s="81">
        <v>0</v>
      </c>
      <c r="AD154" s="81">
        <f t="shared" si="267"/>
        <v>0</v>
      </c>
      <c r="AE154" s="81">
        <v>0</v>
      </c>
      <c r="AF154" s="81">
        <f t="shared" si="268"/>
        <v>0</v>
      </c>
      <c r="AG154" s="81">
        <f t="shared" si="269"/>
        <v>0</v>
      </c>
      <c r="AH154" s="81">
        <f t="shared" si="250"/>
        <v>0</v>
      </c>
      <c r="AI154" s="82">
        <f t="shared" si="270"/>
        <v>0</v>
      </c>
      <c r="AJ154" s="82">
        <f t="shared" si="251"/>
        <v>0</v>
      </c>
      <c r="AK154" s="82">
        <v>0</v>
      </c>
      <c r="AL154" s="82">
        <f t="shared" si="271"/>
        <v>0</v>
      </c>
      <c r="AM154" s="82">
        <v>0</v>
      </c>
      <c r="AN154" s="82">
        <f t="shared" si="272"/>
        <v>0</v>
      </c>
      <c r="AO154" s="82">
        <f t="shared" si="273"/>
        <v>0</v>
      </c>
      <c r="AP154" s="82">
        <f t="shared" si="252"/>
        <v>0</v>
      </c>
      <c r="AQ154" s="83">
        <f t="shared" si="274"/>
        <v>0</v>
      </c>
      <c r="AR154" s="83">
        <f t="shared" si="253"/>
        <v>0</v>
      </c>
      <c r="AS154" s="83">
        <v>0</v>
      </c>
      <c r="AT154" s="83">
        <f t="shared" si="275"/>
        <v>0</v>
      </c>
      <c r="AU154" s="83">
        <v>0</v>
      </c>
      <c r="AV154" s="83">
        <f t="shared" si="276"/>
        <v>0</v>
      </c>
      <c r="AW154" s="83">
        <f t="shared" si="277"/>
        <v>0</v>
      </c>
      <c r="AX154" s="83">
        <f t="shared" si="254"/>
        <v>0</v>
      </c>
    </row>
    <row r="155" spans="2:50" x14ac:dyDescent="0.35">
      <c r="B155" s="7" t="s">
        <v>148</v>
      </c>
      <c r="C155" s="78">
        <v>0</v>
      </c>
      <c r="D155" s="78">
        <v>0</v>
      </c>
      <c r="E155" s="78">
        <v>0</v>
      </c>
      <c r="F155" s="78">
        <f t="shared" si="255"/>
        <v>0</v>
      </c>
      <c r="G155" s="78">
        <v>0</v>
      </c>
      <c r="H155" s="78">
        <f t="shared" si="256"/>
        <v>0</v>
      </c>
      <c r="I155" s="78">
        <f t="shared" si="257"/>
        <v>0</v>
      </c>
      <c r="J155" s="78">
        <f t="shared" si="244"/>
        <v>0</v>
      </c>
      <c r="K155" s="79">
        <f t="shared" si="258"/>
        <v>0</v>
      </c>
      <c r="L155" s="79">
        <f t="shared" si="245"/>
        <v>0</v>
      </c>
      <c r="M155" s="79">
        <v>0</v>
      </c>
      <c r="N155" s="79">
        <f t="shared" si="259"/>
        <v>0</v>
      </c>
      <c r="O155" s="79">
        <v>0</v>
      </c>
      <c r="P155" s="79">
        <f t="shared" si="260"/>
        <v>0</v>
      </c>
      <c r="Q155" s="79">
        <f t="shared" si="261"/>
        <v>0</v>
      </c>
      <c r="R155" s="79">
        <f t="shared" si="246"/>
        <v>0</v>
      </c>
      <c r="S155" s="80">
        <f t="shared" si="262"/>
        <v>0</v>
      </c>
      <c r="T155" s="80">
        <f t="shared" si="247"/>
        <v>0</v>
      </c>
      <c r="U155" s="80">
        <v>0</v>
      </c>
      <c r="V155" s="80">
        <f t="shared" si="263"/>
        <v>0</v>
      </c>
      <c r="W155" s="80">
        <v>0</v>
      </c>
      <c r="X155" s="80">
        <f t="shared" si="264"/>
        <v>0</v>
      </c>
      <c r="Y155" s="80">
        <f t="shared" si="265"/>
        <v>0</v>
      </c>
      <c r="Z155" s="80">
        <f t="shared" si="248"/>
        <v>0</v>
      </c>
      <c r="AA155" s="81">
        <f t="shared" si="266"/>
        <v>0</v>
      </c>
      <c r="AB155" s="81">
        <f t="shared" si="249"/>
        <v>0</v>
      </c>
      <c r="AC155" s="81">
        <v>0</v>
      </c>
      <c r="AD155" s="81">
        <f t="shared" si="267"/>
        <v>0</v>
      </c>
      <c r="AE155" s="81">
        <v>0</v>
      </c>
      <c r="AF155" s="81">
        <f t="shared" si="268"/>
        <v>0</v>
      </c>
      <c r="AG155" s="81">
        <f t="shared" si="269"/>
        <v>0</v>
      </c>
      <c r="AH155" s="81">
        <f t="shared" si="250"/>
        <v>0</v>
      </c>
      <c r="AI155" s="82">
        <f t="shared" si="270"/>
        <v>0</v>
      </c>
      <c r="AJ155" s="82">
        <f t="shared" si="251"/>
        <v>0</v>
      </c>
      <c r="AK155" s="82">
        <v>0</v>
      </c>
      <c r="AL155" s="82">
        <f t="shared" si="271"/>
        <v>0</v>
      </c>
      <c r="AM155" s="82">
        <v>0</v>
      </c>
      <c r="AN155" s="82">
        <f t="shared" si="272"/>
        <v>0</v>
      </c>
      <c r="AO155" s="82">
        <f t="shared" si="273"/>
        <v>0</v>
      </c>
      <c r="AP155" s="82">
        <f t="shared" si="252"/>
        <v>0</v>
      </c>
      <c r="AQ155" s="83">
        <f t="shared" si="274"/>
        <v>0</v>
      </c>
      <c r="AR155" s="83">
        <f t="shared" si="253"/>
        <v>0</v>
      </c>
      <c r="AS155" s="83">
        <v>0</v>
      </c>
      <c r="AT155" s="83">
        <f t="shared" si="275"/>
        <v>0</v>
      </c>
      <c r="AU155" s="83">
        <v>0</v>
      </c>
      <c r="AV155" s="83">
        <f t="shared" si="276"/>
        <v>0</v>
      </c>
      <c r="AW155" s="83">
        <f t="shared" si="277"/>
        <v>0</v>
      </c>
      <c r="AX155" s="83">
        <f t="shared" si="254"/>
        <v>0</v>
      </c>
    </row>
    <row r="156" spans="2:50" ht="31" x14ac:dyDescent="0.35">
      <c r="B156" s="84" t="s">
        <v>149</v>
      </c>
      <c r="C156" s="78">
        <v>0</v>
      </c>
      <c r="D156" s="78">
        <v>0</v>
      </c>
      <c r="E156" s="78">
        <v>0</v>
      </c>
      <c r="F156" s="78">
        <f t="shared" si="255"/>
        <v>0</v>
      </c>
      <c r="G156" s="78">
        <v>0</v>
      </c>
      <c r="H156" s="78">
        <f t="shared" si="256"/>
        <v>0</v>
      </c>
      <c r="I156" s="78">
        <f t="shared" si="257"/>
        <v>0</v>
      </c>
      <c r="J156" s="78">
        <f t="shared" si="244"/>
        <v>0</v>
      </c>
      <c r="K156" s="79">
        <f t="shared" si="258"/>
        <v>0</v>
      </c>
      <c r="L156" s="79">
        <f t="shared" si="245"/>
        <v>0</v>
      </c>
      <c r="M156" s="79">
        <v>0</v>
      </c>
      <c r="N156" s="79">
        <f t="shared" si="259"/>
        <v>0</v>
      </c>
      <c r="O156" s="79">
        <v>0</v>
      </c>
      <c r="P156" s="79">
        <f t="shared" si="260"/>
        <v>0</v>
      </c>
      <c r="Q156" s="79">
        <f t="shared" si="261"/>
        <v>0</v>
      </c>
      <c r="R156" s="79">
        <f t="shared" si="246"/>
        <v>0</v>
      </c>
      <c r="S156" s="80">
        <f t="shared" si="262"/>
        <v>0</v>
      </c>
      <c r="T156" s="80">
        <f t="shared" si="247"/>
        <v>0</v>
      </c>
      <c r="U156" s="80">
        <v>0</v>
      </c>
      <c r="V156" s="80">
        <f t="shared" si="263"/>
        <v>0</v>
      </c>
      <c r="W156" s="80">
        <v>0</v>
      </c>
      <c r="X156" s="80">
        <f t="shared" si="264"/>
        <v>0</v>
      </c>
      <c r="Y156" s="80">
        <f t="shared" si="265"/>
        <v>0</v>
      </c>
      <c r="Z156" s="80">
        <f t="shared" si="248"/>
        <v>0</v>
      </c>
      <c r="AA156" s="81">
        <f t="shared" si="266"/>
        <v>0</v>
      </c>
      <c r="AB156" s="81">
        <f t="shared" si="249"/>
        <v>0</v>
      </c>
      <c r="AC156" s="81">
        <v>0</v>
      </c>
      <c r="AD156" s="81">
        <f t="shared" si="267"/>
        <v>0</v>
      </c>
      <c r="AE156" s="81">
        <v>0</v>
      </c>
      <c r="AF156" s="81">
        <f t="shared" si="268"/>
        <v>0</v>
      </c>
      <c r="AG156" s="81">
        <f t="shared" si="269"/>
        <v>0</v>
      </c>
      <c r="AH156" s="81">
        <f t="shared" si="250"/>
        <v>0</v>
      </c>
      <c r="AI156" s="82">
        <f t="shared" si="270"/>
        <v>0</v>
      </c>
      <c r="AJ156" s="82">
        <f t="shared" si="251"/>
        <v>0</v>
      </c>
      <c r="AK156" s="82">
        <v>0</v>
      </c>
      <c r="AL156" s="82">
        <f t="shared" si="271"/>
        <v>0</v>
      </c>
      <c r="AM156" s="82">
        <v>0</v>
      </c>
      <c r="AN156" s="82">
        <f t="shared" si="272"/>
        <v>0</v>
      </c>
      <c r="AO156" s="82">
        <f t="shared" si="273"/>
        <v>0</v>
      </c>
      <c r="AP156" s="82">
        <f t="shared" si="252"/>
        <v>0</v>
      </c>
      <c r="AQ156" s="83">
        <f t="shared" si="274"/>
        <v>0</v>
      </c>
      <c r="AR156" s="83">
        <f t="shared" si="253"/>
        <v>0</v>
      </c>
      <c r="AS156" s="83">
        <v>0</v>
      </c>
      <c r="AT156" s="83">
        <f t="shared" si="275"/>
        <v>0</v>
      </c>
      <c r="AU156" s="83">
        <v>0</v>
      </c>
      <c r="AV156" s="83">
        <f t="shared" si="276"/>
        <v>0</v>
      </c>
      <c r="AW156" s="83">
        <f t="shared" si="277"/>
        <v>0</v>
      </c>
      <c r="AX156" s="83">
        <f t="shared" si="254"/>
        <v>0</v>
      </c>
    </row>
    <row r="157" spans="2:50" x14ac:dyDescent="0.35">
      <c r="B157" s="12" t="s">
        <v>27</v>
      </c>
      <c r="C157" s="85">
        <f>SUM(C140:C156)</f>
        <v>3211.0382923577822</v>
      </c>
      <c r="D157" s="85">
        <f t="shared" ref="D157:E157" si="278">SUM(D140:D156)</f>
        <v>3211.0382923577822</v>
      </c>
      <c r="E157" s="85">
        <f t="shared" si="278"/>
        <v>10.766558295000001</v>
      </c>
      <c r="F157" s="85">
        <v>9.52</v>
      </c>
      <c r="G157" s="85">
        <f t="shared" ref="G157:M157" si="279">SUM(G140:G156)</f>
        <v>3.742032</v>
      </c>
      <c r="H157" s="85">
        <f t="shared" si="279"/>
        <v>3.742032</v>
      </c>
      <c r="I157" s="85">
        <f t="shared" si="279"/>
        <v>3218.0628186527824</v>
      </c>
      <c r="J157" s="85">
        <f t="shared" si="279"/>
        <v>3216.8162603577825</v>
      </c>
      <c r="K157" s="86">
        <f t="shared" si="279"/>
        <v>3218.0628186527824</v>
      </c>
      <c r="L157" s="86">
        <f t="shared" si="279"/>
        <v>3216.8162603577825</v>
      </c>
      <c r="M157" s="86">
        <f t="shared" si="279"/>
        <v>11.783137381</v>
      </c>
      <c r="N157" s="86">
        <v>9.9400000000000013</v>
      </c>
      <c r="O157" s="86">
        <f t="shared" ref="O157:U157" si="280">SUM(O140:O156)</f>
        <v>0</v>
      </c>
      <c r="P157" s="86">
        <f t="shared" si="280"/>
        <v>0</v>
      </c>
      <c r="Q157" s="86">
        <f t="shared" si="280"/>
        <v>3229.8459560337828</v>
      </c>
      <c r="R157" s="86">
        <f t="shared" si="280"/>
        <v>3226.7562603577826</v>
      </c>
      <c r="S157" s="87">
        <f t="shared" si="280"/>
        <v>3229.8459560337828</v>
      </c>
      <c r="T157" s="87">
        <f t="shared" si="280"/>
        <v>3226.7562603577826</v>
      </c>
      <c r="U157" s="87">
        <f t="shared" si="280"/>
        <v>26.950981147000004</v>
      </c>
      <c r="V157" s="87">
        <v>26.950981147</v>
      </c>
      <c r="W157" s="87">
        <f t="shared" ref="W157:AC157" si="281">SUM(W140:W156)</f>
        <v>0</v>
      </c>
      <c r="X157" s="87">
        <f t="shared" si="281"/>
        <v>0</v>
      </c>
      <c r="Y157" s="87">
        <f t="shared" si="281"/>
        <v>3256.7969371807822</v>
      </c>
      <c r="Z157" s="87">
        <f t="shared" si="281"/>
        <v>3253.7072415047824</v>
      </c>
      <c r="AA157" s="88">
        <f t="shared" si="281"/>
        <v>3256.7969371807822</v>
      </c>
      <c r="AB157" s="88">
        <f t="shared" si="281"/>
        <v>3253.7072415047824</v>
      </c>
      <c r="AC157" s="88">
        <f t="shared" si="281"/>
        <v>82.64</v>
      </c>
      <c r="AD157" s="88">
        <v>82.562637080000016</v>
      </c>
      <c r="AE157" s="88">
        <f t="shared" ref="AE157:AK157" si="282">SUM(AE140:AE156)</f>
        <v>0</v>
      </c>
      <c r="AF157" s="88">
        <f t="shared" si="282"/>
        <v>0</v>
      </c>
      <c r="AG157" s="88">
        <f t="shared" si="282"/>
        <v>3339.4369371807825</v>
      </c>
      <c r="AH157" s="88">
        <f t="shared" si="282"/>
        <v>3336.2698785847824</v>
      </c>
      <c r="AI157" s="89">
        <f t="shared" si="282"/>
        <v>3339.4369371807825</v>
      </c>
      <c r="AJ157" s="89">
        <f t="shared" si="282"/>
        <v>3336.2698785847824</v>
      </c>
      <c r="AK157" s="89">
        <f t="shared" si="282"/>
        <v>49.14</v>
      </c>
      <c r="AL157" s="89">
        <v>44.95</v>
      </c>
      <c r="AM157" s="89">
        <f t="shared" ref="AM157:AS157" si="283">SUM(AM140:AM156)</f>
        <v>0</v>
      </c>
      <c r="AN157" s="89">
        <f t="shared" si="283"/>
        <v>0</v>
      </c>
      <c r="AO157" s="89">
        <f t="shared" si="283"/>
        <v>3388.5769371807819</v>
      </c>
      <c r="AP157" s="89">
        <f t="shared" si="283"/>
        <v>3381.2198785847822</v>
      </c>
      <c r="AQ157" s="90">
        <f t="shared" si="283"/>
        <v>3388.5769371807819</v>
      </c>
      <c r="AR157" s="90">
        <f t="shared" si="283"/>
        <v>3381.2198785847822</v>
      </c>
      <c r="AS157" s="90">
        <f t="shared" si="283"/>
        <v>580.17999999999995</v>
      </c>
      <c r="AT157" s="90">
        <v>381.66</v>
      </c>
      <c r="AU157" s="90">
        <f t="shared" ref="AU157:AX157" si="284">SUM(AU140:AU156)</f>
        <v>0</v>
      </c>
      <c r="AV157" s="90">
        <f t="shared" si="284"/>
        <v>0</v>
      </c>
      <c r="AW157" s="90">
        <f t="shared" si="284"/>
        <v>3968.7569371807822</v>
      </c>
      <c r="AX157" s="90">
        <f t="shared" si="284"/>
        <v>3762.8798785847821</v>
      </c>
    </row>
    <row r="158" spans="2:50" s="77" customFormat="1" x14ac:dyDescent="0.35">
      <c r="B158" s="70" t="s">
        <v>156</v>
      </c>
      <c r="C158" s="71"/>
      <c r="D158" s="71"/>
      <c r="E158" s="71"/>
      <c r="F158" s="71"/>
      <c r="G158" s="71"/>
      <c r="H158" s="71"/>
      <c r="I158" s="71"/>
      <c r="J158" s="71"/>
      <c r="K158" s="72"/>
      <c r="L158" s="72"/>
      <c r="M158" s="72"/>
      <c r="N158" s="72"/>
      <c r="O158" s="72"/>
      <c r="P158" s="72"/>
      <c r="Q158" s="72"/>
      <c r="R158" s="72"/>
      <c r="S158" s="73"/>
      <c r="T158" s="73"/>
      <c r="U158" s="73"/>
      <c r="V158" s="73"/>
      <c r="W158" s="73"/>
      <c r="X158" s="73"/>
      <c r="Y158" s="73"/>
      <c r="Z158" s="73"/>
      <c r="AA158" s="74"/>
      <c r="AB158" s="74"/>
      <c r="AC158" s="74"/>
      <c r="AD158" s="74"/>
      <c r="AE158" s="74"/>
      <c r="AF158" s="74"/>
      <c r="AG158" s="74"/>
      <c r="AH158" s="74"/>
      <c r="AI158" s="75"/>
      <c r="AJ158" s="75"/>
      <c r="AK158" s="75"/>
      <c r="AL158" s="75"/>
      <c r="AM158" s="75"/>
      <c r="AN158" s="75"/>
      <c r="AO158" s="75"/>
      <c r="AP158" s="75"/>
      <c r="AQ158" s="76"/>
      <c r="AR158" s="76"/>
      <c r="AS158" s="76"/>
      <c r="AT158" s="76"/>
      <c r="AU158" s="76"/>
      <c r="AV158" s="76"/>
      <c r="AW158" s="76"/>
      <c r="AX158" s="76"/>
    </row>
    <row r="159" spans="2:50" x14ac:dyDescent="0.35">
      <c r="B159" s="7" t="s">
        <v>133</v>
      </c>
      <c r="C159" s="78">
        <v>2.4171748915856965</v>
      </c>
      <c r="D159" s="78">
        <v>2.4171748915856965</v>
      </c>
      <c r="E159" s="78">
        <v>0.60786030000000002</v>
      </c>
      <c r="F159" s="78">
        <f>IFERROR(E159/E$176*F$176,0)</f>
        <v>0.60783548089740358</v>
      </c>
      <c r="G159" s="78">
        <v>0</v>
      </c>
      <c r="H159" s="78">
        <f>G159</f>
        <v>0</v>
      </c>
      <c r="I159" s="78">
        <f>C159+E159-G159</f>
        <v>3.0250351915856966</v>
      </c>
      <c r="J159" s="78">
        <f t="shared" ref="J159:J175" si="285">D159+F159-H159</f>
        <v>3.0250103724831003</v>
      </c>
      <c r="K159" s="79">
        <f>I159</f>
        <v>3.0250351915856966</v>
      </c>
      <c r="L159" s="79">
        <f t="shared" ref="L159:L175" si="286">J159</f>
        <v>3.0250103724831003</v>
      </c>
      <c r="M159" s="79">
        <v>0</v>
      </c>
      <c r="N159" s="79">
        <f>IFERROR(M159/M$176*N$176,0)</f>
        <v>0</v>
      </c>
      <c r="O159" s="79">
        <v>0</v>
      </c>
      <c r="P159" s="79">
        <f>O159</f>
        <v>0</v>
      </c>
      <c r="Q159" s="79">
        <f>K159+M159-O159</f>
        <v>3.0250351915856966</v>
      </c>
      <c r="R159" s="79">
        <f t="shared" ref="R159:R175" si="287">L159+N159-P159</f>
        <v>3.0250103724831003</v>
      </c>
      <c r="S159" s="80">
        <f>Q159</f>
        <v>3.0250351915856966</v>
      </c>
      <c r="T159" s="80">
        <f t="shared" ref="T159:T175" si="288">R159</f>
        <v>3.0250103724831003</v>
      </c>
      <c r="U159" s="80">
        <v>0.72651449999999995</v>
      </c>
      <c r="V159" s="80">
        <f>IFERROR(U159/U$176*V$176,0)</f>
        <v>0.68234517959433227</v>
      </c>
      <c r="W159" s="80">
        <v>0</v>
      </c>
      <c r="X159" s="80">
        <f>W159</f>
        <v>0</v>
      </c>
      <c r="Y159" s="80">
        <f>S159+U159-W159</f>
        <v>3.7515496915856965</v>
      </c>
      <c r="Z159" s="80">
        <f t="shared" ref="Z159:Z175" si="289">T159+V159-X159</f>
        <v>3.7073555520774324</v>
      </c>
      <c r="AA159" s="81">
        <f>Y159</f>
        <v>3.7515496915856965</v>
      </c>
      <c r="AB159" s="81">
        <f t="shared" ref="AB159:AB175" si="290">Z159</f>
        <v>3.7073555520774324</v>
      </c>
      <c r="AC159" s="81">
        <v>0</v>
      </c>
      <c r="AD159" s="81">
        <f>IFERROR(AC159/AC$176*AD$176,0)</f>
        <v>0</v>
      </c>
      <c r="AE159" s="81">
        <v>0</v>
      </c>
      <c r="AF159" s="81">
        <f>AE159</f>
        <v>0</v>
      </c>
      <c r="AG159" s="81">
        <f>AA159+AC159-AE159</f>
        <v>3.7515496915856965</v>
      </c>
      <c r="AH159" s="81">
        <f t="shared" ref="AH159:AH175" si="291">AB159+AD159-AF159</f>
        <v>3.7073555520774324</v>
      </c>
      <c r="AI159" s="82">
        <f>AG159</f>
        <v>3.7515496915856965</v>
      </c>
      <c r="AJ159" s="82">
        <f t="shared" ref="AJ159:AJ175" si="292">AH159</f>
        <v>3.7073555520774324</v>
      </c>
      <c r="AK159" s="82">
        <v>0</v>
      </c>
      <c r="AL159" s="82">
        <f>IFERROR(AK159/AK$176*AL$176,0)</f>
        <v>0</v>
      </c>
      <c r="AM159" s="82">
        <v>0</v>
      </c>
      <c r="AN159" s="82">
        <f>AM159</f>
        <v>0</v>
      </c>
      <c r="AO159" s="82">
        <f>AI159+AK159-AM159</f>
        <v>3.7515496915856965</v>
      </c>
      <c r="AP159" s="82">
        <f t="shared" ref="AP159:AP175" si="293">AJ159+AL159-AN159</f>
        <v>3.7073555520774324</v>
      </c>
      <c r="AQ159" s="83">
        <f>AO159</f>
        <v>3.7515496915856965</v>
      </c>
      <c r="AR159" s="83">
        <f t="shared" ref="AR159:AR175" si="294">AP159</f>
        <v>3.7073555520774324</v>
      </c>
      <c r="AS159" s="83">
        <v>0</v>
      </c>
      <c r="AT159" s="83">
        <f>IFERROR(AS159/AS$176*AT$176,0)</f>
        <v>0</v>
      </c>
      <c r="AU159" s="83">
        <v>0</v>
      </c>
      <c r="AV159" s="83">
        <f>AU159</f>
        <v>0</v>
      </c>
      <c r="AW159" s="83">
        <f>AQ159+AS159-AU159</f>
        <v>3.7515496915856965</v>
      </c>
      <c r="AX159" s="83">
        <f t="shared" ref="AX159:AX175" si="295">AR159+AT159-AV159</f>
        <v>3.7073555520774324</v>
      </c>
    </row>
    <row r="160" spans="2:50" x14ac:dyDescent="0.35">
      <c r="B160" s="7" t="s">
        <v>134</v>
      </c>
      <c r="C160" s="78">
        <v>156.28126740330515</v>
      </c>
      <c r="D160" s="78">
        <v>156.28126740330515</v>
      </c>
      <c r="E160" s="78">
        <v>0.51354547900000003</v>
      </c>
      <c r="F160" s="78">
        <f t="shared" ref="F160:F175" si="296">IFERROR(E160/E$176*F$176,0)</f>
        <v>0.51352451079738637</v>
      </c>
      <c r="G160" s="78">
        <v>0</v>
      </c>
      <c r="H160" s="78">
        <f t="shared" ref="H160:H175" si="297">G160</f>
        <v>0</v>
      </c>
      <c r="I160" s="78">
        <f t="shared" ref="I160:I175" si="298">C160+E160-G160</f>
        <v>156.79481288230514</v>
      </c>
      <c r="J160" s="78">
        <f t="shared" si="285"/>
        <v>156.79479191410255</v>
      </c>
      <c r="K160" s="79">
        <f t="shared" ref="K160:K175" si="299">I160</f>
        <v>156.79481288230514</v>
      </c>
      <c r="L160" s="79">
        <f t="shared" si="286"/>
        <v>156.79479191410255</v>
      </c>
      <c r="M160" s="79">
        <v>3.1145418710000001</v>
      </c>
      <c r="N160" s="79">
        <f t="shared" ref="N160:N175" si="300">IFERROR(M160/M$176*N$176,0)</f>
        <v>3.1101801851041007</v>
      </c>
      <c r="O160" s="79">
        <v>0</v>
      </c>
      <c r="P160" s="79">
        <f t="shared" ref="P160:P175" si="301">O160</f>
        <v>0</v>
      </c>
      <c r="Q160" s="79">
        <f t="shared" ref="Q160:Q175" si="302">K160+M160-O160</f>
        <v>159.90935475330514</v>
      </c>
      <c r="R160" s="79">
        <f t="shared" si="287"/>
        <v>159.90497209920665</v>
      </c>
      <c r="S160" s="80">
        <f t="shared" ref="S160:S175" si="303">Q160</f>
        <v>159.90935475330514</v>
      </c>
      <c r="T160" s="80">
        <f t="shared" si="288"/>
        <v>159.90497209920665</v>
      </c>
      <c r="U160" s="80">
        <v>3.2204626740000002</v>
      </c>
      <c r="V160" s="80">
        <f t="shared" ref="V160:V175" si="304">IFERROR(U160/U$176*V$176,0)</f>
        <v>3.024670783125972</v>
      </c>
      <c r="W160" s="80">
        <v>0</v>
      </c>
      <c r="X160" s="80">
        <f t="shared" ref="X160:X175" si="305">W160</f>
        <v>0</v>
      </c>
      <c r="Y160" s="80">
        <f t="shared" ref="Y160:Y175" si="306">S160+U160-W160</f>
        <v>163.12981742730514</v>
      </c>
      <c r="Z160" s="80">
        <f t="shared" si="289"/>
        <v>162.92964288233262</v>
      </c>
      <c r="AA160" s="81">
        <f t="shared" ref="AA160:AA175" si="307">Y160</f>
        <v>163.12981742730514</v>
      </c>
      <c r="AB160" s="81">
        <f t="shared" si="290"/>
        <v>162.92964288233262</v>
      </c>
      <c r="AC160" s="81">
        <v>0</v>
      </c>
      <c r="AD160" s="81">
        <f t="shared" ref="AD160:AD175" si="308">IFERROR(AC160/AC$176*AD$176,0)</f>
        <v>0</v>
      </c>
      <c r="AE160" s="81">
        <v>0</v>
      </c>
      <c r="AF160" s="81">
        <f t="shared" ref="AF160:AF175" si="309">AE160</f>
        <v>0</v>
      </c>
      <c r="AG160" s="81">
        <f t="shared" ref="AG160:AG175" si="310">AA160+AC160-AE160</f>
        <v>163.12981742730514</v>
      </c>
      <c r="AH160" s="81">
        <f t="shared" si="291"/>
        <v>162.92964288233262</v>
      </c>
      <c r="AI160" s="82">
        <f t="shared" ref="AI160:AI175" si="311">AG160</f>
        <v>163.12981742730514</v>
      </c>
      <c r="AJ160" s="82">
        <f t="shared" si="292"/>
        <v>162.92964288233262</v>
      </c>
      <c r="AK160" s="82">
        <v>0</v>
      </c>
      <c r="AL160" s="82">
        <f t="shared" ref="AL160:AL175" si="312">IFERROR(AK160/AK$176*AL$176,0)</f>
        <v>0</v>
      </c>
      <c r="AM160" s="82">
        <v>0</v>
      </c>
      <c r="AN160" s="82">
        <f t="shared" ref="AN160:AN175" si="313">AM160</f>
        <v>0</v>
      </c>
      <c r="AO160" s="82">
        <f t="shared" ref="AO160:AO175" si="314">AI160+AK160-AM160</f>
        <v>163.12981742730514</v>
      </c>
      <c r="AP160" s="82">
        <f t="shared" si="293"/>
        <v>162.92964288233262</v>
      </c>
      <c r="AQ160" s="83">
        <f t="shared" ref="AQ160:AQ175" si="315">AO160</f>
        <v>163.12981742730514</v>
      </c>
      <c r="AR160" s="83">
        <f t="shared" si="294"/>
        <v>162.92964288233262</v>
      </c>
      <c r="AS160" s="83">
        <v>0</v>
      </c>
      <c r="AT160" s="83">
        <f t="shared" ref="AT160:AT175" si="316">IFERROR(AS160/AS$176*AT$176,0)</f>
        <v>0</v>
      </c>
      <c r="AU160" s="83">
        <v>0</v>
      </c>
      <c r="AV160" s="83">
        <f t="shared" ref="AV160:AV175" si="317">AU160</f>
        <v>0</v>
      </c>
      <c r="AW160" s="83">
        <f t="shared" ref="AW160:AW175" si="318">AQ160+AS160-AU160</f>
        <v>163.12981742730514</v>
      </c>
      <c r="AX160" s="83">
        <f t="shared" si="295"/>
        <v>162.92964288233262</v>
      </c>
    </row>
    <row r="161" spans="2:50" ht="31" x14ac:dyDescent="0.35">
      <c r="B161" s="84" t="s">
        <v>135</v>
      </c>
      <c r="C161" s="78">
        <v>73.849999999999994</v>
      </c>
      <c r="D161" s="78">
        <v>73.849999999999994</v>
      </c>
      <c r="E161" s="78">
        <v>0</v>
      </c>
      <c r="F161" s="78">
        <f t="shared" si="296"/>
        <v>0</v>
      </c>
      <c r="G161" s="78">
        <v>0</v>
      </c>
      <c r="H161" s="78">
        <f t="shared" si="297"/>
        <v>0</v>
      </c>
      <c r="I161" s="78">
        <f t="shared" si="298"/>
        <v>73.849999999999994</v>
      </c>
      <c r="J161" s="78">
        <f t="shared" si="285"/>
        <v>73.849999999999994</v>
      </c>
      <c r="K161" s="79">
        <f t="shared" si="299"/>
        <v>73.849999999999994</v>
      </c>
      <c r="L161" s="79">
        <f t="shared" si="286"/>
        <v>73.849999999999994</v>
      </c>
      <c r="M161" s="79">
        <v>0</v>
      </c>
      <c r="N161" s="79">
        <f t="shared" si="300"/>
        <v>0</v>
      </c>
      <c r="O161" s="79">
        <v>0</v>
      </c>
      <c r="P161" s="79">
        <f t="shared" si="301"/>
        <v>0</v>
      </c>
      <c r="Q161" s="79">
        <f t="shared" si="302"/>
        <v>73.849999999999994</v>
      </c>
      <c r="R161" s="79">
        <f t="shared" si="287"/>
        <v>73.849999999999994</v>
      </c>
      <c r="S161" s="80">
        <f t="shared" si="303"/>
        <v>73.849999999999994</v>
      </c>
      <c r="T161" s="80">
        <f t="shared" si="288"/>
        <v>73.849999999999994</v>
      </c>
      <c r="U161" s="80">
        <v>0</v>
      </c>
      <c r="V161" s="80">
        <f t="shared" si="304"/>
        <v>0</v>
      </c>
      <c r="W161" s="80">
        <v>0</v>
      </c>
      <c r="X161" s="80">
        <f t="shared" si="305"/>
        <v>0</v>
      </c>
      <c r="Y161" s="80">
        <f t="shared" si="306"/>
        <v>73.849999999999994</v>
      </c>
      <c r="Z161" s="80">
        <f t="shared" si="289"/>
        <v>73.849999999999994</v>
      </c>
      <c r="AA161" s="81">
        <f t="shared" si="307"/>
        <v>73.849999999999994</v>
      </c>
      <c r="AB161" s="81">
        <f t="shared" si="290"/>
        <v>73.849999999999994</v>
      </c>
      <c r="AC161" s="81">
        <v>0</v>
      </c>
      <c r="AD161" s="81">
        <f t="shared" si="308"/>
        <v>0</v>
      </c>
      <c r="AE161" s="81">
        <v>0</v>
      </c>
      <c r="AF161" s="81">
        <f t="shared" si="309"/>
        <v>0</v>
      </c>
      <c r="AG161" s="81">
        <f t="shared" si="310"/>
        <v>73.849999999999994</v>
      </c>
      <c r="AH161" s="81">
        <f t="shared" si="291"/>
        <v>73.849999999999994</v>
      </c>
      <c r="AI161" s="82">
        <f t="shared" si="311"/>
        <v>73.849999999999994</v>
      </c>
      <c r="AJ161" s="82">
        <f t="shared" si="292"/>
        <v>73.849999999999994</v>
      </c>
      <c r="AK161" s="82">
        <v>0</v>
      </c>
      <c r="AL161" s="82">
        <f t="shared" si="312"/>
        <v>0</v>
      </c>
      <c r="AM161" s="82">
        <v>0</v>
      </c>
      <c r="AN161" s="82">
        <f t="shared" si="313"/>
        <v>0</v>
      </c>
      <c r="AO161" s="82">
        <f t="shared" si="314"/>
        <v>73.849999999999994</v>
      </c>
      <c r="AP161" s="82">
        <f t="shared" si="293"/>
        <v>73.849999999999994</v>
      </c>
      <c r="AQ161" s="83">
        <f t="shared" si="315"/>
        <v>73.849999999999994</v>
      </c>
      <c r="AR161" s="83">
        <f t="shared" si="294"/>
        <v>73.849999999999994</v>
      </c>
      <c r="AS161" s="83">
        <v>0</v>
      </c>
      <c r="AT161" s="83">
        <f t="shared" si="316"/>
        <v>0</v>
      </c>
      <c r="AU161" s="83">
        <v>0</v>
      </c>
      <c r="AV161" s="83">
        <f t="shared" si="317"/>
        <v>0</v>
      </c>
      <c r="AW161" s="83">
        <f t="shared" si="318"/>
        <v>73.849999999999994</v>
      </c>
      <c r="AX161" s="83">
        <f t="shared" si="295"/>
        <v>73.849999999999994</v>
      </c>
    </row>
    <row r="162" spans="2:50" x14ac:dyDescent="0.35">
      <c r="B162" s="7" t="s">
        <v>136</v>
      </c>
      <c r="C162" s="78">
        <v>119.44693319057978</v>
      </c>
      <c r="D162" s="78">
        <v>119.44693319057978</v>
      </c>
      <c r="E162" s="78">
        <v>28.067072470999999</v>
      </c>
      <c r="F162" s="78">
        <f t="shared" si="296"/>
        <v>28.06592648474092</v>
      </c>
      <c r="G162" s="78">
        <v>0</v>
      </c>
      <c r="H162" s="78">
        <f t="shared" si="297"/>
        <v>0</v>
      </c>
      <c r="I162" s="78">
        <f t="shared" si="298"/>
        <v>147.51400566157977</v>
      </c>
      <c r="J162" s="78">
        <f t="shared" si="285"/>
        <v>147.5128596753207</v>
      </c>
      <c r="K162" s="79">
        <f t="shared" si="299"/>
        <v>147.51400566157977</v>
      </c>
      <c r="L162" s="79">
        <f t="shared" si="286"/>
        <v>147.5128596753207</v>
      </c>
      <c r="M162" s="79">
        <v>0</v>
      </c>
      <c r="N162" s="79">
        <f t="shared" si="300"/>
        <v>0</v>
      </c>
      <c r="O162" s="79">
        <v>0</v>
      </c>
      <c r="P162" s="79">
        <f t="shared" si="301"/>
        <v>0</v>
      </c>
      <c r="Q162" s="79">
        <f t="shared" si="302"/>
        <v>147.51400566157977</v>
      </c>
      <c r="R162" s="79">
        <f t="shared" si="287"/>
        <v>147.5128596753207</v>
      </c>
      <c r="S162" s="80">
        <f t="shared" si="303"/>
        <v>147.51400566157977</v>
      </c>
      <c r="T162" s="80">
        <f t="shared" si="288"/>
        <v>147.5128596753207</v>
      </c>
      <c r="U162" s="80">
        <v>15.027669476</v>
      </c>
      <c r="V162" s="80">
        <f t="shared" si="304"/>
        <v>14.114044286088559</v>
      </c>
      <c r="W162" s="80">
        <v>0</v>
      </c>
      <c r="X162" s="80">
        <f t="shared" si="305"/>
        <v>0</v>
      </c>
      <c r="Y162" s="80">
        <f t="shared" si="306"/>
        <v>162.54167513757977</v>
      </c>
      <c r="Z162" s="80">
        <f t="shared" si="289"/>
        <v>161.62690396140925</v>
      </c>
      <c r="AA162" s="81">
        <f t="shared" si="307"/>
        <v>162.54167513757977</v>
      </c>
      <c r="AB162" s="81">
        <f t="shared" si="290"/>
        <v>161.62690396140925</v>
      </c>
      <c r="AC162" s="81">
        <v>0</v>
      </c>
      <c r="AD162" s="81">
        <f t="shared" si="308"/>
        <v>0</v>
      </c>
      <c r="AE162" s="81">
        <v>0</v>
      </c>
      <c r="AF162" s="81">
        <f t="shared" si="309"/>
        <v>0</v>
      </c>
      <c r="AG162" s="81">
        <f t="shared" si="310"/>
        <v>162.54167513757977</v>
      </c>
      <c r="AH162" s="81">
        <f t="shared" si="291"/>
        <v>161.62690396140925</v>
      </c>
      <c r="AI162" s="82">
        <f t="shared" si="311"/>
        <v>162.54167513757977</v>
      </c>
      <c r="AJ162" s="82">
        <f t="shared" si="292"/>
        <v>161.62690396140925</v>
      </c>
      <c r="AK162" s="82">
        <v>0</v>
      </c>
      <c r="AL162" s="82">
        <f t="shared" si="312"/>
        <v>0</v>
      </c>
      <c r="AM162" s="82">
        <v>0</v>
      </c>
      <c r="AN162" s="82">
        <f t="shared" si="313"/>
        <v>0</v>
      </c>
      <c r="AO162" s="82">
        <f t="shared" si="314"/>
        <v>162.54167513757977</v>
      </c>
      <c r="AP162" s="82">
        <f t="shared" si="293"/>
        <v>161.62690396140925</v>
      </c>
      <c r="AQ162" s="83">
        <f t="shared" si="315"/>
        <v>162.54167513757977</v>
      </c>
      <c r="AR162" s="83">
        <f t="shared" si="294"/>
        <v>161.62690396140925</v>
      </c>
      <c r="AS162" s="83">
        <v>0</v>
      </c>
      <c r="AT162" s="83">
        <f t="shared" si="316"/>
        <v>0</v>
      </c>
      <c r="AU162" s="83">
        <v>0</v>
      </c>
      <c r="AV162" s="83">
        <f t="shared" si="317"/>
        <v>0</v>
      </c>
      <c r="AW162" s="83">
        <f t="shared" si="318"/>
        <v>162.54167513757977</v>
      </c>
      <c r="AX162" s="83">
        <f t="shared" si="295"/>
        <v>161.62690396140925</v>
      </c>
    </row>
    <row r="163" spans="2:50" x14ac:dyDescent="0.35">
      <c r="B163" s="7" t="s">
        <v>137</v>
      </c>
      <c r="C163" s="78">
        <v>81.716613851578529</v>
      </c>
      <c r="D163" s="78">
        <v>81.716613851578529</v>
      </c>
      <c r="E163" s="78">
        <v>9.9469282880000005</v>
      </c>
      <c r="F163" s="78">
        <f t="shared" si="296"/>
        <v>9.9465221521926477</v>
      </c>
      <c r="G163" s="78">
        <v>0</v>
      </c>
      <c r="H163" s="78">
        <f t="shared" si="297"/>
        <v>0</v>
      </c>
      <c r="I163" s="78">
        <f t="shared" si="298"/>
        <v>91.663542139578524</v>
      </c>
      <c r="J163" s="78">
        <f t="shared" si="285"/>
        <v>91.663136003771172</v>
      </c>
      <c r="K163" s="79">
        <f t="shared" si="299"/>
        <v>91.663542139578524</v>
      </c>
      <c r="L163" s="79">
        <f t="shared" si="286"/>
        <v>91.663136003771172</v>
      </c>
      <c r="M163" s="79">
        <v>3.9894657599999999</v>
      </c>
      <c r="N163" s="79">
        <f t="shared" si="300"/>
        <v>3.983878807806617</v>
      </c>
      <c r="O163" s="79">
        <v>0</v>
      </c>
      <c r="P163" s="79">
        <f t="shared" si="301"/>
        <v>0</v>
      </c>
      <c r="Q163" s="79">
        <f t="shared" si="302"/>
        <v>95.653007899578526</v>
      </c>
      <c r="R163" s="79">
        <f t="shared" si="287"/>
        <v>95.64701481157779</v>
      </c>
      <c r="S163" s="80">
        <f t="shared" si="303"/>
        <v>95.653007899578526</v>
      </c>
      <c r="T163" s="80">
        <f t="shared" si="288"/>
        <v>95.64701481157779</v>
      </c>
      <c r="U163" s="80">
        <v>7.8460919960000002</v>
      </c>
      <c r="V163" s="80">
        <f t="shared" si="304"/>
        <v>7.3690794225363341</v>
      </c>
      <c r="W163" s="80">
        <v>0</v>
      </c>
      <c r="X163" s="80">
        <f t="shared" si="305"/>
        <v>0</v>
      </c>
      <c r="Y163" s="80">
        <f t="shared" si="306"/>
        <v>103.49909989557852</v>
      </c>
      <c r="Z163" s="80">
        <f t="shared" si="289"/>
        <v>103.01609423411412</v>
      </c>
      <c r="AA163" s="81">
        <f t="shared" si="307"/>
        <v>103.49909989557852</v>
      </c>
      <c r="AB163" s="81">
        <f t="shared" si="290"/>
        <v>103.01609423411412</v>
      </c>
      <c r="AC163" s="81">
        <v>0</v>
      </c>
      <c r="AD163" s="81">
        <f t="shared" si="308"/>
        <v>0</v>
      </c>
      <c r="AE163" s="81">
        <v>0</v>
      </c>
      <c r="AF163" s="81">
        <f t="shared" si="309"/>
        <v>0</v>
      </c>
      <c r="AG163" s="81">
        <f t="shared" si="310"/>
        <v>103.49909989557852</v>
      </c>
      <c r="AH163" s="81">
        <f t="shared" si="291"/>
        <v>103.01609423411412</v>
      </c>
      <c r="AI163" s="82">
        <f t="shared" si="311"/>
        <v>103.49909989557852</v>
      </c>
      <c r="AJ163" s="82">
        <f t="shared" si="292"/>
        <v>103.01609423411412</v>
      </c>
      <c r="AK163" s="82">
        <v>0</v>
      </c>
      <c r="AL163" s="82">
        <f t="shared" si="312"/>
        <v>0</v>
      </c>
      <c r="AM163" s="82">
        <v>0</v>
      </c>
      <c r="AN163" s="82">
        <f t="shared" si="313"/>
        <v>0</v>
      </c>
      <c r="AO163" s="82">
        <f t="shared" si="314"/>
        <v>103.49909989557852</v>
      </c>
      <c r="AP163" s="82">
        <f t="shared" si="293"/>
        <v>103.01609423411412</v>
      </c>
      <c r="AQ163" s="83">
        <f t="shared" si="315"/>
        <v>103.49909989557852</v>
      </c>
      <c r="AR163" s="83">
        <f t="shared" si="294"/>
        <v>103.01609423411412</v>
      </c>
      <c r="AS163" s="83">
        <v>0</v>
      </c>
      <c r="AT163" s="83">
        <f t="shared" si="316"/>
        <v>0</v>
      </c>
      <c r="AU163" s="83">
        <v>0</v>
      </c>
      <c r="AV163" s="83">
        <f t="shared" si="317"/>
        <v>0</v>
      </c>
      <c r="AW163" s="83">
        <f t="shared" si="318"/>
        <v>103.49909989557852</v>
      </c>
      <c r="AX163" s="83">
        <f t="shared" si="295"/>
        <v>103.01609423411412</v>
      </c>
    </row>
    <row r="164" spans="2:50" x14ac:dyDescent="0.35">
      <c r="B164" s="7" t="s">
        <v>138</v>
      </c>
      <c r="C164" s="78">
        <v>2459.1440698070846</v>
      </c>
      <c r="D164" s="78">
        <v>2459.1440698070846</v>
      </c>
      <c r="E164" s="78">
        <v>6.2189887480000001</v>
      </c>
      <c r="F164" s="78">
        <f t="shared" si="296"/>
        <v>6.2187348249854812</v>
      </c>
      <c r="G164" s="78">
        <v>0</v>
      </c>
      <c r="H164" s="78">
        <f t="shared" si="297"/>
        <v>0</v>
      </c>
      <c r="I164" s="78">
        <f t="shared" si="298"/>
        <v>2465.3630585550845</v>
      </c>
      <c r="J164" s="78">
        <f t="shared" si="285"/>
        <v>2465.36280463207</v>
      </c>
      <c r="K164" s="79">
        <f t="shared" si="299"/>
        <v>2465.3630585550845</v>
      </c>
      <c r="L164" s="79">
        <f t="shared" si="286"/>
        <v>2465.36280463207</v>
      </c>
      <c r="M164" s="79">
        <v>19.072273855999999</v>
      </c>
      <c r="N164" s="79">
        <f t="shared" si="300"/>
        <v>19.045564544863417</v>
      </c>
      <c r="O164" s="79">
        <v>0</v>
      </c>
      <c r="P164" s="79">
        <f t="shared" si="301"/>
        <v>0</v>
      </c>
      <c r="Q164" s="79">
        <f t="shared" si="302"/>
        <v>2484.4353324110843</v>
      </c>
      <c r="R164" s="79">
        <f t="shared" si="287"/>
        <v>2484.4083691769333</v>
      </c>
      <c r="S164" s="80">
        <f t="shared" si="303"/>
        <v>2484.4353324110843</v>
      </c>
      <c r="T164" s="80">
        <f t="shared" si="288"/>
        <v>2484.4083691769333</v>
      </c>
      <c r="U164" s="80">
        <v>34.283276254999997</v>
      </c>
      <c r="V164" s="80">
        <f t="shared" si="304"/>
        <v>32.198983355872571</v>
      </c>
      <c r="W164" s="80">
        <v>0.73659660000000005</v>
      </c>
      <c r="X164" s="80">
        <f t="shared" si="305"/>
        <v>0.73659660000000005</v>
      </c>
      <c r="Y164" s="80">
        <f t="shared" si="306"/>
        <v>2517.9820120660843</v>
      </c>
      <c r="Z164" s="80">
        <f t="shared" si="289"/>
        <v>2515.8707559328059</v>
      </c>
      <c r="AA164" s="81">
        <f t="shared" si="307"/>
        <v>2517.9820120660843</v>
      </c>
      <c r="AB164" s="81">
        <f t="shared" si="290"/>
        <v>2515.8707559328059</v>
      </c>
      <c r="AC164" s="81">
        <v>38.15</v>
      </c>
      <c r="AD164" s="81">
        <f t="shared" si="308"/>
        <v>37.570000000000007</v>
      </c>
      <c r="AE164" s="81">
        <v>0</v>
      </c>
      <c r="AF164" s="81">
        <f t="shared" si="309"/>
        <v>0</v>
      </c>
      <c r="AG164" s="81">
        <f t="shared" si="310"/>
        <v>2556.1320120660844</v>
      </c>
      <c r="AH164" s="81">
        <f t="shared" si="291"/>
        <v>2553.440755932806</v>
      </c>
      <c r="AI164" s="82">
        <f t="shared" si="311"/>
        <v>2556.1320120660844</v>
      </c>
      <c r="AJ164" s="82">
        <f t="shared" si="292"/>
        <v>2553.440755932806</v>
      </c>
      <c r="AK164" s="82">
        <v>27.39</v>
      </c>
      <c r="AL164" s="82">
        <f t="shared" si="312"/>
        <v>25.8</v>
      </c>
      <c r="AM164" s="82">
        <v>0</v>
      </c>
      <c r="AN164" s="82">
        <f t="shared" si="313"/>
        <v>0</v>
      </c>
      <c r="AO164" s="82">
        <f t="shared" si="314"/>
        <v>2583.5220120660842</v>
      </c>
      <c r="AP164" s="82">
        <f t="shared" si="293"/>
        <v>2579.2407559328062</v>
      </c>
      <c r="AQ164" s="83">
        <f t="shared" si="315"/>
        <v>2583.5220120660842</v>
      </c>
      <c r="AR164" s="83">
        <f t="shared" si="294"/>
        <v>2579.2407559328062</v>
      </c>
      <c r="AS164" s="83">
        <v>1017.98</v>
      </c>
      <c r="AT164" s="83">
        <f t="shared" si="316"/>
        <v>145.02000000000001</v>
      </c>
      <c r="AU164" s="83">
        <v>0</v>
      </c>
      <c r="AV164" s="83">
        <f t="shared" si="317"/>
        <v>0</v>
      </c>
      <c r="AW164" s="83">
        <f t="shared" si="318"/>
        <v>3601.5020120660843</v>
      </c>
      <c r="AX164" s="83">
        <f t="shared" si="295"/>
        <v>2724.2607559328062</v>
      </c>
    </row>
    <row r="165" spans="2:50" x14ac:dyDescent="0.35">
      <c r="B165" s="7" t="s">
        <v>139</v>
      </c>
      <c r="C165" s="78">
        <v>0</v>
      </c>
      <c r="D165" s="78">
        <v>0</v>
      </c>
      <c r="E165" s="78">
        <v>7.5672699000000003</v>
      </c>
      <c r="F165" s="78">
        <f t="shared" si="296"/>
        <v>7.5669609262966295</v>
      </c>
      <c r="G165" s="78">
        <v>2.526055978</v>
      </c>
      <c r="H165" s="78">
        <f t="shared" si="297"/>
        <v>2.526055978</v>
      </c>
      <c r="I165" s="78">
        <f t="shared" si="298"/>
        <v>5.0412139220000007</v>
      </c>
      <c r="J165" s="78">
        <f t="shared" si="285"/>
        <v>5.0409049482966299</v>
      </c>
      <c r="K165" s="79">
        <f t="shared" si="299"/>
        <v>5.0412139220000007</v>
      </c>
      <c r="L165" s="79">
        <f t="shared" si="286"/>
        <v>5.0409049482966299</v>
      </c>
      <c r="M165" s="79">
        <v>0</v>
      </c>
      <c r="N165" s="79">
        <f t="shared" si="300"/>
        <v>0</v>
      </c>
      <c r="O165" s="79">
        <v>0</v>
      </c>
      <c r="P165" s="79">
        <f t="shared" si="301"/>
        <v>0</v>
      </c>
      <c r="Q165" s="79">
        <f t="shared" si="302"/>
        <v>5.0412139220000007</v>
      </c>
      <c r="R165" s="79">
        <f t="shared" si="287"/>
        <v>5.0409049482966299</v>
      </c>
      <c r="S165" s="80">
        <f t="shared" si="303"/>
        <v>5.0412139220000007</v>
      </c>
      <c r="T165" s="80">
        <f t="shared" si="288"/>
        <v>5.0409049482966299</v>
      </c>
      <c r="U165" s="80">
        <v>0</v>
      </c>
      <c r="V165" s="80">
        <f t="shared" si="304"/>
        <v>0</v>
      </c>
      <c r="W165" s="80">
        <v>0</v>
      </c>
      <c r="X165" s="80">
        <f t="shared" si="305"/>
        <v>0</v>
      </c>
      <c r="Y165" s="80">
        <f t="shared" si="306"/>
        <v>5.0412139220000007</v>
      </c>
      <c r="Z165" s="80">
        <f t="shared" si="289"/>
        <v>5.0409049482966299</v>
      </c>
      <c r="AA165" s="81">
        <f t="shared" si="307"/>
        <v>5.0412139220000007</v>
      </c>
      <c r="AB165" s="81">
        <f t="shared" si="290"/>
        <v>5.0409049482966299</v>
      </c>
      <c r="AC165" s="81">
        <v>0</v>
      </c>
      <c r="AD165" s="81">
        <f t="shared" si="308"/>
        <v>0</v>
      </c>
      <c r="AE165" s="81">
        <v>0</v>
      </c>
      <c r="AF165" s="81">
        <f t="shared" si="309"/>
        <v>0</v>
      </c>
      <c r="AG165" s="81">
        <f t="shared" si="310"/>
        <v>5.0412139220000007</v>
      </c>
      <c r="AH165" s="81">
        <f t="shared" si="291"/>
        <v>5.0409049482966299</v>
      </c>
      <c r="AI165" s="82">
        <f t="shared" si="311"/>
        <v>5.0412139220000007</v>
      </c>
      <c r="AJ165" s="82">
        <f t="shared" si="292"/>
        <v>5.0409049482966299</v>
      </c>
      <c r="AK165" s="82">
        <v>0</v>
      </c>
      <c r="AL165" s="82">
        <f t="shared" si="312"/>
        <v>0</v>
      </c>
      <c r="AM165" s="82">
        <v>0</v>
      </c>
      <c r="AN165" s="82">
        <f t="shared" si="313"/>
        <v>0</v>
      </c>
      <c r="AO165" s="82">
        <f t="shared" si="314"/>
        <v>5.0412139220000007</v>
      </c>
      <c r="AP165" s="82">
        <f t="shared" si="293"/>
        <v>5.0409049482966299</v>
      </c>
      <c r="AQ165" s="83">
        <f t="shared" si="315"/>
        <v>5.0412139220000007</v>
      </c>
      <c r="AR165" s="83">
        <f t="shared" si="294"/>
        <v>5.0409049482966299</v>
      </c>
      <c r="AS165" s="83">
        <v>0</v>
      </c>
      <c r="AT165" s="83">
        <f t="shared" si="316"/>
        <v>0</v>
      </c>
      <c r="AU165" s="83">
        <v>0</v>
      </c>
      <c r="AV165" s="83">
        <f t="shared" si="317"/>
        <v>0</v>
      </c>
      <c r="AW165" s="83">
        <f t="shared" si="318"/>
        <v>5.0412139220000007</v>
      </c>
      <c r="AX165" s="83">
        <f t="shared" si="295"/>
        <v>5.0409049482966299</v>
      </c>
    </row>
    <row r="166" spans="2:50" x14ac:dyDescent="0.35">
      <c r="B166" s="7" t="s">
        <v>140</v>
      </c>
      <c r="C166" s="78">
        <v>0</v>
      </c>
      <c r="D166" s="78">
        <v>0</v>
      </c>
      <c r="E166" s="78">
        <v>0</v>
      </c>
      <c r="F166" s="78">
        <f t="shared" si="296"/>
        <v>0</v>
      </c>
      <c r="G166" s="78">
        <v>0</v>
      </c>
      <c r="H166" s="78">
        <f t="shared" si="297"/>
        <v>0</v>
      </c>
      <c r="I166" s="78">
        <f t="shared" si="298"/>
        <v>0</v>
      </c>
      <c r="J166" s="78">
        <f t="shared" si="285"/>
        <v>0</v>
      </c>
      <c r="K166" s="79">
        <f t="shared" si="299"/>
        <v>0</v>
      </c>
      <c r="L166" s="79">
        <f t="shared" si="286"/>
        <v>0</v>
      </c>
      <c r="M166" s="79">
        <v>0</v>
      </c>
      <c r="N166" s="79">
        <f t="shared" si="300"/>
        <v>0</v>
      </c>
      <c r="O166" s="79">
        <v>0</v>
      </c>
      <c r="P166" s="79">
        <f t="shared" si="301"/>
        <v>0</v>
      </c>
      <c r="Q166" s="79">
        <f t="shared" si="302"/>
        <v>0</v>
      </c>
      <c r="R166" s="79">
        <f t="shared" si="287"/>
        <v>0</v>
      </c>
      <c r="S166" s="80">
        <f t="shared" si="303"/>
        <v>0</v>
      </c>
      <c r="T166" s="80">
        <f t="shared" si="288"/>
        <v>0</v>
      </c>
      <c r="U166" s="80">
        <v>0</v>
      </c>
      <c r="V166" s="80">
        <f t="shared" si="304"/>
        <v>0</v>
      </c>
      <c r="W166" s="80">
        <v>0</v>
      </c>
      <c r="X166" s="80">
        <f t="shared" si="305"/>
        <v>0</v>
      </c>
      <c r="Y166" s="80">
        <f t="shared" si="306"/>
        <v>0</v>
      </c>
      <c r="Z166" s="80">
        <f t="shared" si="289"/>
        <v>0</v>
      </c>
      <c r="AA166" s="81">
        <f t="shared" si="307"/>
        <v>0</v>
      </c>
      <c r="AB166" s="81">
        <f t="shared" si="290"/>
        <v>0</v>
      </c>
      <c r="AC166" s="81">
        <v>0</v>
      </c>
      <c r="AD166" s="81">
        <f t="shared" si="308"/>
        <v>0</v>
      </c>
      <c r="AE166" s="81">
        <v>0</v>
      </c>
      <c r="AF166" s="81">
        <f t="shared" si="309"/>
        <v>0</v>
      </c>
      <c r="AG166" s="81">
        <f t="shared" si="310"/>
        <v>0</v>
      </c>
      <c r="AH166" s="81">
        <f t="shared" si="291"/>
        <v>0</v>
      </c>
      <c r="AI166" s="82">
        <f t="shared" si="311"/>
        <v>0</v>
      </c>
      <c r="AJ166" s="82">
        <f t="shared" si="292"/>
        <v>0</v>
      </c>
      <c r="AK166" s="82">
        <v>0</v>
      </c>
      <c r="AL166" s="82">
        <f t="shared" si="312"/>
        <v>0</v>
      </c>
      <c r="AM166" s="82">
        <v>0</v>
      </c>
      <c r="AN166" s="82">
        <f t="shared" si="313"/>
        <v>0</v>
      </c>
      <c r="AO166" s="82">
        <f t="shared" si="314"/>
        <v>0</v>
      </c>
      <c r="AP166" s="82">
        <f t="shared" si="293"/>
        <v>0</v>
      </c>
      <c r="AQ166" s="83">
        <f t="shared" si="315"/>
        <v>0</v>
      </c>
      <c r="AR166" s="83">
        <f t="shared" si="294"/>
        <v>0</v>
      </c>
      <c r="AS166" s="83">
        <v>0</v>
      </c>
      <c r="AT166" s="83">
        <f t="shared" si="316"/>
        <v>0</v>
      </c>
      <c r="AU166" s="83">
        <v>0</v>
      </c>
      <c r="AV166" s="83">
        <f t="shared" si="317"/>
        <v>0</v>
      </c>
      <c r="AW166" s="83">
        <f t="shared" si="318"/>
        <v>0</v>
      </c>
      <c r="AX166" s="83">
        <f t="shared" si="295"/>
        <v>0</v>
      </c>
    </row>
    <row r="167" spans="2:50" x14ac:dyDescent="0.35">
      <c r="B167" s="7" t="s">
        <v>141</v>
      </c>
      <c r="C167" s="78">
        <v>32.510099787069834</v>
      </c>
      <c r="D167" s="78">
        <v>32.510099787069834</v>
      </c>
      <c r="E167" s="78">
        <v>0</v>
      </c>
      <c r="F167" s="78">
        <f t="shared" si="296"/>
        <v>0</v>
      </c>
      <c r="G167" s="78">
        <v>0</v>
      </c>
      <c r="H167" s="78">
        <f t="shared" si="297"/>
        <v>0</v>
      </c>
      <c r="I167" s="78">
        <f t="shared" si="298"/>
        <v>32.510099787069834</v>
      </c>
      <c r="J167" s="78">
        <f t="shared" si="285"/>
        <v>32.510099787069834</v>
      </c>
      <c r="K167" s="79">
        <f t="shared" si="299"/>
        <v>32.510099787069834</v>
      </c>
      <c r="L167" s="79">
        <f t="shared" si="286"/>
        <v>32.510099787069834</v>
      </c>
      <c r="M167" s="79">
        <v>0</v>
      </c>
      <c r="N167" s="79">
        <f t="shared" si="300"/>
        <v>0</v>
      </c>
      <c r="O167" s="79">
        <v>0</v>
      </c>
      <c r="P167" s="79">
        <f t="shared" si="301"/>
        <v>0</v>
      </c>
      <c r="Q167" s="79">
        <f t="shared" si="302"/>
        <v>32.510099787069834</v>
      </c>
      <c r="R167" s="79">
        <f t="shared" si="287"/>
        <v>32.510099787069834</v>
      </c>
      <c r="S167" s="80">
        <f t="shared" si="303"/>
        <v>32.510099787069834</v>
      </c>
      <c r="T167" s="80">
        <f t="shared" si="288"/>
        <v>32.510099787069834</v>
      </c>
      <c r="U167" s="80">
        <v>0</v>
      </c>
      <c r="V167" s="80">
        <f t="shared" si="304"/>
        <v>0</v>
      </c>
      <c r="W167" s="80">
        <v>0</v>
      </c>
      <c r="X167" s="80">
        <f t="shared" si="305"/>
        <v>0</v>
      </c>
      <c r="Y167" s="80">
        <f t="shared" si="306"/>
        <v>32.510099787069834</v>
      </c>
      <c r="Z167" s="80">
        <f t="shared" si="289"/>
        <v>32.510099787069834</v>
      </c>
      <c r="AA167" s="81">
        <f t="shared" si="307"/>
        <v>32.510099787069834</v>
      </c>
      <c r="AB167" s="81">
        <f t="shared" si="290"/>
        <v>32.510099787069834</v>
      </c>
      <c r="AC167" s="81">
        <v>0</v>
      </c>
      <c r="AD167" s="81">
        <f t="shared" si="308"/>
        <v>0</v>
      </c>
      <c r="AE167" s="81">
        <v>0</v>
      </c>
      <c r="AF167" s="81">
        <f t="shared" si="309"/>
        <v>0</v>
      </c>
      <c r="AG167" s="81">
        <f t="shared" si="310"/>
        <v>32.510099787069834</v>
      </c>
      <c r="AH167" s="81">
        <f t="shared" si="291"/>
        <v>32.510099787069834</v>
      </c>
      <c r="AI167" s="82">
        <f t="shared" si="311"/>
        <v>32.510099787069834</v>
      </c>
      <c r="AJ167" s="82">
        <f t="shared" si="292"/>
        <v>32.510099787069834</v>
      </c>
      <c r="AK167" s="82">
        <v>0</v>
      </c>
      <c r="AL167" s="82">
        <f t="shared" si="312"/>
        <v>0</v>
      </c>
      <c r="AM167" s="82">
        <v>0</v>
      </c>
      <c r="AN167" s="82">
        <f t="shared" si="313"/>
        <v>0</v>
      </c>
      <c r="AO167" s="82">
        <f t="shared" si="314"/>
        <v>32.510099787069834</v>
      </c>
      <c r="AP167" s="82">
        <f t="shared" si="293"/>
        <v>32.510099787069834</v>
      </c>
      <c r="AQ167" s="83">
        <f t="shared" si="315"/>
        <v>32.510099787069834</v>
      </c>
      <c r="AR167" s="83">
        <f t="shared" si="294"/>
        <v>32.510099787069834</v>
      </c>
      <c r="AS167" s="83">
        <v>0</v>
      </c>
      <c r="AT167" s="83">
        <f t="shared" si="316"/>
        <v>0</v>
      </c>
      <c r="AU167" s="83">
        <v>0</v>
      </c>
      <c r="AV167" s="83">
        <f t="shared" si="317"/>
        <v>0</v>
      </c>
      <c r="AW167" s="83">
        <f t="shared" si="318"/>
        <v>32.510099787069834</v>
      </c>
      <c r="AX167" s="83">
        <f t="shared" si="295"/>
        <v>32.510099787069834</v>
      </c>
    </row>
    <row r="168" spans="2:50" x14ac:dyDescent="0.35">
      <c r="B168" s="7" t="s">
        <v>142</v>
      </c>
      <c r="C168" s="78">
        <v>0.39714038244513483</v>
      </c>
      <c r="D168" s="78">
        <v>0.39714038244513483</v>
      </c>
      <c r="E168" s="78">
        <v>0.29499999999999998</v>
      </c>
      <c r="F168" s="78">
        <f t="shared" si="296"/>
        <v>0.29498795506917308</v>
      </c>
      <c r="G168" s="78">
        <v>0</v>
      </c>
      <c r="H168" s="78">
        <f t="shared" si="297"/>
        <v>0</v>
      </c>
      <c r="I168" s="78">
        <f t="shared" si="298"/>
        <v>0.69214038244513487</v>
      </c>
      <c r="J168" s="78">
        <f t="shared" si="285"/>
        <v>0.69212833751430791</v>
      </c>
      <c r="K168" s="79">
        <f t="shared" si="299"/>
        <v>0.69214038244513487</v>
      </c>
      <c r="L168" s="79">
        <f t="shared" si="286"/>
        <v>0.69212833751430791</v>
      </c>
      <c r="M168" s="79">
        <v>4.2359800000000003E-2</v>
      </c>
      <c r="N168" s="79">
        <f t="shared" si="300"/>
        <v>4.2300478228174281E-2</v>
      </c>
      <c r="O168" s="79">
        <v>0</v>
      </c>
      <c r="P168" s="79">
        <f t="shared" si="301"/>
        <v>0</v>
      </c>
      <c r="Q168" s="79">
        <f t="shared" si="302"/>
        <v>0.73450018244513493</v>
      </c>
      <c r="R168" s="79">
        <f t="shared" si="287"/>
        <v>0.7344288157424822</v>
      </c>
      <c r="S168" s="80">
        <f t="shared" si="303"/>
        <v>0.73450018244513493</v>
      </c>
      <c r="T168" s="80">
        <f t="shared" si="288"/>
        <v>0.7344288157424822</v>
      </c>
      <c r="U168" s="80">
        <v>1.7765</v>
      </c>
      <c r="V168" s="80">
        <f t="shared" si="304"/>
        <v>1.668495551774027</v>
      </c>
      <c r="W168" s="80">
        <v>0</v>
      </c>
      <c r="X168" s="80">
        <f t="shared" si="305"/>
        <v>0</v>
      </c>
      <c r="Y168" s="80">
        <f t="shared" si="306"/>
        <v>2.5110001824451347</v>
      </c>
      <c r="Z168" s="80">
        <f t="shared" si="289"/>
        <v>2.4029243675165093</v>
      </c>
      <c r="AA168" s="81">
        <f t="shared" si="307"/>
        <v>2.5110001824451347</v>
      </c>
      <c r="AB168" s="81">
        <f t="shared" si="290"/>
        <v>2.4029243675165093</v>
      </c>
      <c r="AC168" s="81">
        <v>0</v>
      </c>
      <c r="AD168" s="81">
        <f t="shared" si="308"/>
        <v>0</v>
      </c>
      <c r="AE168" s="81">
        <v>0</v>
      </c>
      <c r="AF168" s="81">
        <f t="shared" si="309"/>
        <v>0</v>
      </c>
      <c r="AG168" s="81">
        <f t="shared" si="310"/>
        <v>2.5110001824451347</v>
      </c>
      <c r="AH168" s="81">
        <f t="shared" si="291"/>
        <v>2.4029243675165093</v>
      </c>
      <c r="AI168" s="82">
        <f t="shared" si="311"/>
        <v>2.5110001824451347</v>
      </c>
      <c r="AJ168" s="82">
        <f t="shared" si="292"/>
        <v>2.4029243675165093</v>
      </c>
      <c r="AK168" s="82">
        <v>0</v>
      </c>
      <c r="AL168" s="82">
        <f t="shared" si="312"/>
        <v>0</v>
      </c>
      <c r="AM168" s="82">
        <v>0</v>
      </c>
      <c r="AN168" s="82">
        <f t="shared" si="313"/>
        <v>0</v>
      </c>
      <c r="AO168" s="82">
        <f t="shared" si="314"/>
        <v>2.5110001824451347</v>
      </c>
      <c r="AP168" s="82">
        <f t="shared" si="293"/>
        <v>2.4029243675165093</v>
      </c>
      <c r="AQ168" s="83">
        <f t="shared" si="315"/>
        <v>2.5110001824451347</v>
      </c>
      <c r="AR168" s="83">
        <f t="shared" si="294"/>
        <v>2.4029243675165093</v>
      </c>
      <c r="AS168" s="83">
        <v>0</v>
      </c>
      <c r="AT168" s="83">
        <f t="shared" si="316"/>
        <v>0</v>
      </c>
      <c r="AU168" s="83">
        <v>0</v>
      </c>
      <c r="AV168" s="83">
        <f t="shared" si="317"/>
        <v>0</v>
      </c>
      <c r="AW168" s="83">
        <f t="shared" si="318"/>
        <v>2.5110001824451347</v>
      </c>
      <c r="AX168" s="83">
        <f t="shared" si="295"/>
        <v>2.4029243675165093</v>
      </c>
    </row>
    <row r="169" spans="2:50" x14ac:dyDescent="0.35">
      <c r="B169" s="7" t="s">
        <v>143</v>
      </c>
      <c r="C169" s="78">
        <v>1.2348765056909148</v>
      </c>
      <c r="D169" s="78">
        <v>1.2348765056909148</v>
      </c>
      <c r="E169" s="78">
        <v>0.294264307</v>
      </c>
      <c r="F169" s="78">
        <f t="shared" si="296"/>
        <v>0.29425229210771986</v>
      </c>
      <c r="G169" s="78">
        <v>0</v>
      </c>
      <c r="H169" s="78">
        <f t="shared" si="297"/>
        <v>0</v>
      </c>
      <c r="I169" s="78">
        <f t="shared" si="298"/>
        <v>1.5291408126909147</v>
      </c>
      <c r="J169" s="78">
        <f t="shared" si="285"/>
        <v>1.5291287977986348</v>
      </c>
      <c r="K169" s="79">
        <f t="shared" si="299"/>
        <v>1.5291408126909147</v>
      </c>
      <c r="L169" s="79">
        <f t="shared" si="286"/>
        <v>1.5291287977986348</v>
      </c>
      <c r="M169" s="79">
        <v>0.12809891900000001</v>
      </c>
      <c r="N169" s="79">
        <f t="shared" si="300"/>
        <v>0.12791952592345007</v>
      </c>
      <c r="O169" s="79">
        <v>0</v>
      </c>
      <c r="P169" s="79">
        <f t="shared" si="301"/>
        <v>0</v>
      </c>
      <c r="Q169" s="79">
        <f t="shared" si="302"/>
        <v>1.6572397316909147</v>
      </c>
      <c r="R169" s="79">
        <f t="shared" si="287"/>
        <v>1.6570483237220848</v>
      </c>
      <c r="S169" s="80">
        <f t="shared" si="303"/>
        <v>1.6572397316909147</v>
      </c>
      <c r="T169" s="80">
        <f t="shared" si="288"/>
        <v>1.6570483237220848</v>
      </c>
      <c r="U169" s="80">
        <v>0.222003332</v>
      </c>
      <c r="V169" s="80">
        <f t="shared" si="304"/>
        <v>0.20850637316127921</v>
      </c>
      <c r="W169" s="80">
        <v>0</v>
      </c>
      <c r="X169" s="80">
        <f t="shared" si="305"/>
        <v>0</v>
      </c>
      <c r="Y169" s="80">
        <f t="shared" si="306"/>
        <v>1.8792430636909145</v>
      </c>
      <c r="Z169" s="80">
        <f t="shared" si="289"/>
        <v>1.8655546968833641</v>
      </c>
      <c r="AA169" s="81">
        <f t="shared" si="307"/>
        <v>1.8792430636909145</v>
      </c>
      <c r="AB169" s="81">
        <f t="shared" si="290"/>
        <v>1.8655546968833641</v>
      </c>
      <c r="AC169" s="81">
        <v>0</v>
      </c>
      <c r="AD169" s="81">
        <f t="shared" si="308"/>
        <v>0</v>
      </c>
      <c r="AE169" s="81">
        <v>0</v>
      </c>
      <c r="AF169" s="81">
        <f t="shared" si="309"/>
        <v>0</v>
      </c>
      <c r="AG169" s="81">
        <f t="shared" si="310"/>
        <v>1.8792430636909145</v>
      </c>
      <c r="AH169" s="81">
        <f t="shared" si="291"/>
        <v>1.8655546968833641</v>
      </c>
      <c r="AI169" s="82">
        <f t="shared" si="311"/>
        <v>1.8792430636909145</v>
      </c>
      <c r="AJ169" s="82">
        <f t="shared" si="292"/>
        <v>1.8655546968833641</v>
      </c>
      <c r="AK169" s="82">
        <v>0</v>
      </c>
      <c r="AL169" s="82">
        <f t="shared" si="312"/>
        <v>0</v>
      </c>
      <c r="AM169" s="82">
        <v>0</v>
      </c>
      <c r="AN169" s="82">
        <f t="shared" si="313"/>
        <v>0</v>
      </c>
      <c r="AO169" s="82">
        <f t="shared" si="314"/>
        <v>1.8792430636909145</v>
      </c>
      <c r="AP169" s="82">
        <f t="shared" si="293"/>
        <v>1.8655546968833641</v>
      </c>
      <c r="AQ169" s="83">
        <f t="shared" si="315"/>
        <v>1.8792430636909145</v>
      </c>
      <c r="AR169" s="83">
        <f t="shared" si="294"/>
        <v>1.8655546968833641</v>
      </c>
      <c r="AS169" s="83">
        <v>0</v>
      </c>
      <c r="AT169" s="83">
        <f t="shared" si="316"/>
        <v>0</v>
      </c>
      <c r="AU169" s="83">
        <v>0</v>
      </c>
      <c r="AV169" s="83">
        <f t="shared" si="317"/>
        <v>0</v>
      </c>
      <c r="AW169" s="83">
        <f t="shared" si="318"/>
        <v>1.8792430636909145</v>
      </c>
      <c r="AX169" s="83">
        <f t="shared" si="295"/>
        <v>1.8655546968833641</v>
      </c>
    </row>
    <row r="170" spans="2:50" x14ac:dyDescent="0.35">
      <c r="B170" s="7" t="s">
        <v>144</v>
      </c>
      <c r="C170" s="78">
        <v>3.2967735868613577</v>
      </c>
      <c r="D170" s="78">
        <v>3.2967735868613577</v>
      </c>
      <c r="E170" s="78">
        <v>2.6013400000000006E-2</v>
      </c>
      <c r="F170" s="78">
        <f t="shared" si="296"/>
        <v>2.6012337865750603E-2</v>
      </c>
      <c r="G170" s="78">
        <v>0</v>
      </c>
      <c r="H170" s="78">
        <f t="shared" si="297"/>
        <v>0</v>
      </c>
      <c r="I170" s="78">
        <f t="shared" si="298"/>
        <v>3.3227869868613578</v>
      </c>
      <c r="J170" s="78">
        <f t="shared" si="285"/>
        <v>3.3227859247271083</v>
      </c>
      <c r="K170" s="79">
        <f t="shared" si="299"/>
        <v>3.3227869868613578</v>
      </c>
      <c r="L170" s="79">
        <f t="shared" si="286"/>
        <v>3.3227859247271083</v>
      </c>
      <c r="M170" s="79">
        <v>1.1308000999999998E-2</v>
      </c>
      <c r="N170" s="79">
        <f t="shared" si="300"/>
        <v>1.1292164979642794E-2</v>
      </c>
      <c r="O170" s="79">
        <v>0</v>
      </c>
      <c r="P170" s="79">
        <f t="shared" si="301"/>
        <v>0</v>
      </c>
      <c r="Q170" s="79">
        <f t="shared" si="302"/>
        <v>3.3340949878613579</v>
      </c>
      <c r="R170" s="79">
        <f t="shared" si="287"/>
        <v>3.3340780897067512</v>
      </c>
      <c r="S170" s="80">
        <f t="shared" si="303"/>
        <v>3.3340949878613579</v>
      </c>
      <c r="T170" s="80">
        <f t="shared" si="288"/>
        <v>3.3340780897067512</v>
      </c>
      <c r="U170" s="80">
        <v>0</v>
      </c>
      <c r="V170" s="80">
        <f t="shared" si="304"/>
        <v>0</v>
      </c>
      <c r="W170" s="80">
        <v>0</v>
      </c>
      <c r="X170" s="80">
        <f t="shared" si="305"/>
        <v>0</v>
      </c>
      <c r="Y170" s="80">
        <f t="shared" si="306"/>
        <v>3.3340949878613579</v>
      </c>
      <c r="Z170" s="80">
        <f t="shared" si="289"/>
        <v>3.3340780897067512</v>
      </c>
      <c r="AA170" s="81">
        <f t="shared" si="307"/>
        <v>3.3340949878613579</v>
      </c>
      <c r="AB170" s="81">
        <f t="shared" si="290"/>
        <v>3.3340780897067512</v>
      </c>
      <c r="AC170" s="81">
        <v>0</v>
      </c>
      <c r="AD170" s="81">
        <f t="shared" si="308"/>
        <v>0</v>
      </c>
      <c r="AE170" s="81">
        <v>0</v>
      </c>
      <c r="AF170" s="81">
        <f t="shared" si="309"/>
        <v>0</v>
      </c>
      <c r="AG170" s="81">
        <f t="shared" si="310"/>
        <v>3.3340949878613579</v>
      </c>
      <c r="AH170" s="81">
        <f t="shared" si="291"/>
        <v>3.3340780897067512</v>
      </c>
      <c r="AI170" s="82">
        <f t="shared" si="311"/>
        <v>3.3340949878613579</v>
      </c>
      <c r="AJ170" s="82">
        <f t="shared" si="292"/>
        <v>3.3340780897067512</v>
      </c>
      <c r="AK170" s="82">
        <v>0</v>
      </c>
      <c r="AL170" s="82">
        <f t="shared" si="312"/>
        <v>0</v>
      </c>
      <c r="AM170" s="82">
        <v>0</v>
      </c>
      <c r="AN170" s="82">
        <f t="shared" si="313"/>
        <v>0</v>
      </c>
      <c r="AO170" s="82">
        <f t="shared" si="314"/>
        <v>3.3340949878613579</v>
      </c>
      <c r="AP170" s="82">
        <f t="shared" si="293"/>
        <v>3.3340780897067512</v>
      </c>
      <c r="AQ170" s="83">
        <f t="shared" si="315"/>
        <v>3.3340949878613579</v>
      </c>
      <c r="AR170" s="83">
        <f t="shared" si="294"/>
        <v>3.3340780897067512</v>
      </c>
      <c r="AS170" s="83">
        <v>0</v>
      </c>
      <c r="AT170" s="83">
        <f t="shared" si="316"/>
        <v>0</v>
      </c>
      <c r="AU170" s="83">
        <v>0</v>
      </c>
      <c r="AV170" s="83">
        <f t="shared" si="317"/>
        <v>0</v>
      </c>
      <c r="AW170" s="83">
        <f t="shared" si="318"/>
        <v>3.3340949878613579</v>
      </c>
      <c r="AX170" s="83">
        <f t="shared" si="295"/>
        <v>3.3340780897067512</v>
      </c>
    </row>
    <row r="171" spans="2:50" x14ac:dyDescent="0.35">
      <c r="B171" s="7" t="s">
        <v>145</v>
      </c>
      <c r="C171" s="78">
        <v>0</v>
      </c>
      <c r="D171" s="78">
        <v>0</v>
      </c>
      <c r="E171" s="78">
        <v>0</v>
      </c>
      <c r="F171" s="78">
        <f t="shared" si="296"/>
        <v>0</v>
      </c>
      <c r="G171" s="78">
        <v>0</v>
      </c>
      <c r="H171" s="78">
        <f t="shared" si="297"/>
        <v>0</v>
      </c>
      <c r="I171" s="78">
        <f t="shared" si="298"/>
        <v>0</v>
      </c>
      <c r="J171" s="78">
        <f t="shared" si="285"/>
        <v>0</v>
      </c>
      <c r="K171" s="79">
        <f t="shared" si="299"/>
        <v>0</v>
      </c>
      <c r="L171" s="79">
        <f t="shared" si="286"/>
        <v>0</v>
      </c>
      <c r="M171" s="79">
        <v>0</v>
      </c>
      <c r="N171" s="79">
        <f t="shared" si="300"/>
        <v>0</v>
      </c>
      <c r="O171" s="79">
        <v>0</v>
      </c>
      <c r="P171" s="79">
        <f t="shared" si="301"/>
        <v>0</v>
      </c>
      <c r="Q171" s="79">
        <f t="shared" si="302"/>
        <v>0</v>
      </c>
      <c r="R171" s="79">
        <f t="shared" si="287"/>
        <v>0</v>
      </c>
      <c r="S171" s="80">
        <f t="shared" si="303"/>
        <v>0</v>
      </c>
      <c r="T171" s="80">
        <f t="shared" si="288"/>
        <v>0</v>
      </c>
      <c r="U171" s="80">
        <v>0</v>
      </c>
      <c r="V171" s="80">
        <f t="shared" si="304"/>
        <v>0</v>
      </c>
      <c r="W171" s="80">
        <v>0</v>
      </c>
      <c r="X171" s="80">
        <f t="shared" si="305"/>
        <v>0</v>
      </c>
      <c r="Y171" s="80">
        <f t="shared" si="306"/>
        <v>0</v>
      </c>
      <c r="Z171" s="80">
        <f t="shared" si="289"/>
        <v>0</v>
      </c>
      <c r="AA171" s="81">
        <f t="shared" si="307"/>
        <v>0</v>
      </c>
      <c r="AB171" s="81">
        <f t="shared" si="290"/>
        <v>0</v>
      </c>
      <c r="AC171" s="81">
        <v>0</v>
      </c>
      <c r="AD171" s="81">
        <f t="shared" si="308"/>
        <v>0</v>
      </c>
      <c r="AE171" s="81">
        <v>0</v>
      </c>
      <c r="AF171" s="81">
        <f t="shared" si="309"/>
        <v>0</v>
      </c>
      <c r="AG171" s="81">
        <f t="shared" si="310"/>
        <v>0</v>
      </c>
      <c r="AH171" s="81">
        <f t="shared" si="291"/>
        <v>0</v>
      </c>
      <c r="AI171" s="82">
        <f t="shared" si="311"/>
        <v>0</v>
      </c>
      <c r="AJ171" s="82">
        <f t="shared" si="292"/>
        <v>0</v>
      </c>
      <c r="AK171" s="82">
        <v>0</v>
      </c>
      <c r="AL171" s="82">
        <f t="shared" si="312"/>
        <v>0</v>
      </c>
      <c r="AM171" s="82">
        <v>0</v>
      </c>
      <c r="AN171" s="82">
        <f t="shared" si="313"/>
        <v>0</v>
      </c>
      <c r="AO171" s="82">
        <f t="shared" si="314"/>
        <v>0</v>
      </c>
      <c r="AP171" s="82">
        <f t="shared" si="293"/>
        <v>0</v>
      </c>
      <c r="AQ171" s="83">
        <f t="shared" si="315"/>
        <v>0</v>
      </c>
      <c r="AR171" s="83">
        <f t="shared" si="294"/>
        <v>0</v>
      </c>
      <c r="AS171" s="83">
        <v>0</v>
      </c>
      <c r="AT171" s="83">
        <f t="shared" si="316"/>
        <v>0</v>
      </c>
      <c r="AU171" s="83">
        <v>0</v>
      </c>
      <c r="AV171" s="83">
        <f t="shared" si="317"/>
        <v>0</v>
      </c>
      <c r="AW171" s="83">
        <f t="shared" si="318"/>
        <v>0</v>
      </c>
      <c r="AX171" s="83">
        <f t="shared" si="295"/>
        <v>0</v>
      </c>
    </row>
    <row r="172" spans="2:50" x14ac:dyDescent="0.35">
      <c r="B172" s="7" t="s">
        <v>146</v>
      </c>
      <c r="C172" s="78">
        <v>0</v>
      </c>
      <c r="D172" s="78">
        <v>0</v>
      </c>
      <c r="E172" s="78">
        <v>0.103696417</v>
      </c>
      <c r="F172" s="78">
        <f t="shared" si="296"/>
        <v>0.10369218304688214</v>
      </c>
      <c r="G172" s="78">
        <v>0</v>
      </c>
      <c r="H172" s="78">
        <f t="shared" si="297"/>
        <v>0</v>
      </c>
      <c r="I172" s="78">
        <f t="shared" si="298"/>
        <v>0.103696417</v>
      </c>
      <c r="J172" s="78">
        <f t="shared" si="285"/>
        <v>0.10369218304688214</v>
      </c>
      <c r="K172" s="79">
        <f t="shared" si="299"/>
        <v>0.103696417</v>
      </c>
      <c r="L172" s="79">
        <f t="shared" si="286"/>
        <v>0.10369218304688214</v>
      </c>
      <c r="M172" s="79">
        <v>5.3282998999999998E-2</v>
      </c>
      <c r="N172" s="79">
        <f t="shared" si="300"/>
        <v>5.3208380094602228E-2</v>
      </c>
      <c r="O172" s="79">
        <v>0</v>
      </c>
      <c r="P172" s="79">
        <f t="shared" si="301"/>
        <v>0</v>
      </c>
      <c r="Q172" s="79">
        <f t="shared" si="302"/>
        <v>0.15697941599999998</v>
      </c>
      <c r="R172" s="79">
        <f t="shared" si="287"/>
        <v>0.15690056314148437</v>
      </c>
      <c r="S172" s="80">
        <f t="shared" si="303"/>
        <v>0.15697941599999998</v>
      </c>
      <c r="T172" s="80">
        <f t="shared" si="288"/>
        <v>0.15690056314148437</v>
      </c>
      <c r="U172" s="80">
        <v>0.27850452800000003</v>
      </c>
      <c r="V172" s="80">
        <f t="shared" si="304"/>
        <v>0.26157251118318325</v>
      </c>
      <c r="W172" s="80">
        <v>0</v>
      </c>
      <c r="X172" s="80">
        <f t="shared" si="305"/>
        <v>0</v>
      </c>
      <c r="Y172" s="80">
        <f t="shared" si="306"/>
        <v>0.43548394400000001</v>
      </c>
      <c r="Z172" s="80">
        <f t="shared" si="289"/>
        <v>0.41847307432466763</v>
      </c>
      <c r="AA172" s="81">
        <f t="shared" si="307"/>
        <v>0.43548394400000001</v>
      </c>
      <c r="AB172" s="81">
        <f t="shared" si="290"/>
        <v>0.41847307432466763</v>
      </c>
      <c r="AC172" s="81">
        <v>0</v>
      </c>
      <c r="AD172" s="81">
        <f t="shared" si="308"/>
        <v>0</v>
      </c>
      <c r="AE172" s="81">
        <v>0</v>
      </c>
      <c r="AF172" s="81">
        <f t="shared" si="309"/>
        <v>0</v>
      </c>
      <c r="AG172" s="81">
        <f t="shared" si="310"/>
        <v>0.43548394400000001</v>
      </c>
      <c r="AH172" s="81">
        <f t="shared" si="291"/>
        <v>0.41847307432466763</v>
      </c>
      <c r="AI172" s="82">
        <f t="shared" si="311"/>
        <v>0.43548394400000001</v>
      </c>
      <c r="AJ172" s="82">
        <f t="shared" si="292"/>
        <v>0.41847307432466763</v>
      </c>
      <c r="AK172" s="82">
        <v>0</v>
      </c>
      <c r="AL172" s="82">
        <f t="shared" si="312"/>
        <v>0</v>
      </c>
      <c r="AM172" s="82">
        <v>0</v>
      </c>
      <c r="AN172" s="82">
        <f t="shared" si="313"/>
        <v>0</v>
      </c>
      <c r="AO172" s="82">
        <f t="shared" si="314"/>
        <v>0.43548394400000001</v>
      </c>
      <c r="AP172" s="82">
        <f t="shared" si="293"/>
        <v>0.41847307432466763</v>
      </c>
      <c r="AQ172" s="83">
        <f t="shared" si="315"/>
        <v>0.43548394400000001</v>
      </c>
      <c r="AR172" s="83">
        <f t="shared" si="294"/>
        <v>0.41847307432466763</v>
      </c>
      <c r="AS172" s="83">
        <v>0</v>
      </c>
      <c r="AT172" s="83">
        <f t="shared" si="316"/>
        <v>0</v>
      </c>
      <c r="AU172" s="83">
        <v>0</v>
      </c>
      <c r="AV172" s="83">
        <f t="shared" si="317"/>
        <v>0</v>
      </c>
      <c r="AW172" s="83">
        <f t="shared" si="318"/>
        <v>0.43548394400000001</v>
      </c>
      <c r="AX172" s="83">
        <f t="shared" si="295"/>
        <v>0.41847307432466763</v>
      </c>
    </row>
    <row r="173" spans="2:50" x14ac:dyDescent="0.35">
      <c r="B173" s="7" t="s">
        <v>147</v>
      </c>
      <c r="C173" s="78">
        <v>0</v>
      </c>
      <c r="D173" s="78">
        <v>0</v>
      </c>
      <c r="E173" s="78">
        <v>0</v>
      </c>
      <c r="F173" s="78">
        <f t="shared" si="296"/>
        <v>0</v>
      </c>
      <c r="G173" s="78">
        <v>0</v>
      </c>
      <c r="H173" s="78">
        <f t="shared" si="297"/>
        <v>0</v>
      </c>
      <c r="I173" s="78">
        <f t="shared" si="298"/>
        <v>0</v>
      </c>
      <c r="J173" s="78">
        <f t="shared" si="285"/>
        <v>0</v>
      </c>
      <c r="K173" s="79">
        <f t="shared" si="299"/>
        <v>0</v>
      </c>
      <c r="L173" s="79">
        <f t="shared" si="286"/>
        <v>0</v>
      </c>
      <c r="M173" s="79">
        <v>0</v>
      </c>
      <c r="N173" s="79">
        <f t="shared" si="300"/>
        <v>0</v>
      </c>
      <c r="O173" s="79">
        <v>0</v>
      </c>
      <c r="P173" s="79">
        <f t="shared" si="301"/>
        <v>0</v>
      </c>
      <c r="Q173" s="79">
        <f t="shared" si="302"/>
        <v>0</v>
      </c>
      <c r="R173" s="79">
        <f t="shared" si="287"/>
        <v>0</v>
      </c>
      <c r="S173" s="80">
        <f t="shared" si="303"/>
        <v>0</v>
      </c>
      <c r="T173" s="80">
        <f t="shared" si="288"/>
        <v>0</v>
      </c>
      <c r="U173" s="80">
        <v>1.30989E-2</v>
      </c>
      <c r="V173" s="80">
        <f t="shared" si="304"/>
        <v>1.2302536663739264E-2</v>
      </c>
      <c r="W173" s="80">
        <v>0</v>
      </c>
      <c r="X173" s="80">
        <f t="shared" si="305"/>
        <v>0</v>
      </c>
      <c r="Y173" s="80">
        <f t="shared" si="306"/>
        <v>1.30989E-2</v>
      </c>
      <c r="Z173" s="80">
        <f t="shared" si="289"/>
        <v>1.2302536663739264E-2</v>
      </c>
      <c r="AA173" s="81">
        <f t="shared" si="307"/>
        <v>1.30989E-2</v>
      </c>
      <c r="AB173" s="81">
        <f t="shared" si="290"/>
        <v>1.2302536663739264E-2</v>
      </c>
      <c r="AC173" s="81">
        <v>0</v>
      </c>
      <c r="AD173" s="81">
        <f t="shared" si="308"/>
        <v>0</v>
      </c>
      <c r="AE173" s="81">
        <v>0</v>
      </c>
      <c r="AF173" s="81">
        <f t="shared" si="309"/>
        <v>0</v>
      </c>
      <c r="AG173" s="81">
        <f t="shared" si="310"/>
        <v>1.30989E-2</v>
      </c>
      <c r="AH173" s="81">
        <f t="shared" si="291"/>
        <v>1.2302536663739264E-2</v>
      </c>
      <c r="AI173" s="82">
        <f t="shared" si="311"/>
        <v>1.30989E-2</v>
      </c>
      <c r="AJ173" s="82">
        <f t="shared" si="292"/>
        <v>1.2302536663739264E-2</v>
      </c>
      <c r="AK173" s="82">
        <v>0</v>
      </c>
      <c r="AL173" s="82">
        <f t="shared" si="312"/>
        <v>0</v>
      </c>
      <c r="AM173" s="82">
        <v>0</v>
      </c>
      <c r="AN173" s="82">
        <f t="shared" si="313"/>
        <v>0</v>
      </c>
      <c r="AO173" s="82">
        <f t="shared" si="314"/>
        <v>1.30989E-2</v>
      </c>
      <c r="AP173" s="82">
        <f t="shared" si="293"/>
        <v>1.2302536663739264E-2</v>
      </c>
      <c r="AQ173" s="83">
        <f t="shared" si="315"/>
        <v>1.30989E-2</v>
      </c>
      <c r="AR173" s="83">
        <f t="shared" si="294"/>
        <v>1.2302536663739264E-2</v>
      </c>
      <c r="AS173" s="83">
        <v>0</v>
      </c>
      <c r="AT173" s="83">
        <f t="shared" si="316"/>
        <v>0</v>
      </c>
      <c r="AU173" s="83">
        <v>0</v>
      </c>
      <c r="AV173" s="83">
        <f t="shared" si="317"/>
        <v>0</v>
      </c>
      <c r="AW173" s="83">
        <f t="shared" si="318"/>
        <v>1.30989E-2</v>
      </c>
      <c r="AX173" s="83">
        <f t="shared" si="295"/>
        <v>1.2302536663739264E-2</v>
      </c>
    </row>
    <row r="174" spans="2:50" x14ac:dyDescent="0.35">
      <c r="B174" s="7" t="s">
        <v>148</v>
      </c>
      <c r="C174" s="78">
        <v>0</v>
      </c>
      <c r="D174" s="78">
        <v>0</v>
      </c>
      <c r="E174" s="78">
        <v>0</v>
      </c>
      <c r="F174" s="78">
        <f t="shared" si="296"/>
        <v>0</v>
      </c>
      <c r="G174" s="78">
        <v>0</v>
      </c>
      <c r="H174" s="78">
        <f t="shared" si="297"/>
        <v>0</v>
      </c>
      <c r="I174" s="78">
        <f t="shared" si="298"/>
        <v>0</v>
      </c>
      <c r="J174" s="78">
        <f t="shared" si="285"/>
        <v>0</v>
      </c>
      <c r="K174" s="79">
        <f t="shared" si="299"/>
        <v>0</v>
      </c>
      <c r="L174" s="79">
        <f t="shared" si="286"/>
        <v>0</v>
      </c>
      <c r="M174" s="79">
        <v>0</v>
      </c>
      <c r="N174" s="79">
        <f t="shared" si="300"/>
        <v>0</v>
      </c>
      <c r="O174" s="79">
        <v>0</v>
      </c>
      <c r="P174" s="79">
        <f t="shared" si="301"/>
        <v>0</v>
      </c>
      <c r="Q174" s="79">
        <f t="shared" si="302"/>
        <v>0</v>
      </c>
      <c r="R174" s="79">
        <f t="shared" si="287"/>
        <v>0</v>
      </c>
      <c r="S174" s="80">
        <f t="shared" si="303"/>
        <v>0</v>
      </c>
      <c r="T174" s="80">
        <f t="shared" si="288"/>
        <v>0</v>
      </c>
      <c r="U174" s="80">
        <v>0</v>
      </c>
      <c r="V174" s="80">
        <f t="shared" si="304"/>
        <v>0</v>
      </c>
      <c r="W174" s="80">
        <v>0</v>
      </c>
      <c r="X174" s="80">
        <f t="shared" si="305"/>
        <v>0</v>
      </c>
      <c r="Y174" s="80">
        <f t="shared" si="306"/>
        <v>0</v>
      </c>
      <c r="Z174" s="80">
        <f t="shared" si="289"/>
        <v>0</v>
      </c>
      <c r="AA174" s="81">
        <f t="shared" si="307"/>
        <v>0</v>
      </c>
      <c r="AB174" s="81">
        <f t="shared" si="290"/>
        <v>0</v>
      </c>
      <c r="AC174" s="81">
        <v>0</v>
      </c>
      <c r="AD174" s="81">
        <f t="shared" si="308"/>
        <v>0</v>
      </c>
      <c r="AE174" s="81">
        <v>0</v>
      </c>
      <c r="AF174" s="81">
        <f t="shared" si="309"/>
        <v>0</v>
      </c>
      <c r="AG174" s="81">
        <f t="shared" si="310"/>
        <v>0</v>
      </c>
      <c r="AH174" s="81">
        <f t="shared" si="291"/>
        <v>0</v>
      </c>
      <c r="AI174" s="82">
        <f t="shared" si="311"/>
        <v>0</v>
      </c>
      <c r="AJ174" s="82">
        <f t="shared" si="292"/>
        <v>0</v>
      </c>
      <c r="AK174" s="82">
        <v>0</v>
      </c>
      <c r="AL174" s="82">
        <f t="shared" si="312"/>
        <v>0</v>
      </c>
      <c r="AM174" s="82">
        <v>0</v>
      </c>
      <c r="AN174" s="82">
        <f t="shared" si="313"/>
        <v>0</v>
      </c>
      <c r="AO174" s="82">
        <f t="shared" si="314"/>
        <v>0</v>
      </c>
      <c r="AP174" s="82">
        <f t="shared" si="293"/>
        <v>0</v>
      </c>
      <c r="AQ174" s="83">
        <f t="shared" si="315"/>
        <v>0</v>
      </c>
      <c r="AR174" s="83">
        <f t="shared" si="294"/>
        <v>0</v>
      </c>
      <c r="AS174" s="83">
        <v>0</v>
      </c>
      <c r="AT174" s="83">
        <f t="shared" si="316"/>
        <v>0</v>
      </c>
      <c r="AU174" s="83">
        <v>0</v>
      </c>
      <c r="AV174" s="83">
        <f t="shared" si="317"/>
        <v>0</v>
      </c>
      <c r="AW174" s="83">
        <f t="shared" si="318"/>
        <v>0</v>
      </c>
      <c r="AX174" s="83">
        <f t="shared" si="295"/>
        <v>0</v>
      </c>
    </row>
    <row r="175" spans="2:50" ht="31" x14ac:dyDescent="0.35">
      <c r="B175" s="84" t="s">
        <v>149</v>
      </c>
      <c r="C175" s="78">
        <v>0</v>
      </c>
      <c r="D175" s="78">
        <v>0</v>
      </c>
      <c r="E175" s="78">
        <v>0</v>
      </c>
      <c r="F175" s="78">
        <f t="shared" si="296"/>
        <v>0</v>
      </c>
      <c r="G175" s="78">
        <v>0</v>
      </c>
      <c r="H175" s="78">
        <f t="shared" si="297"/>
        <v>0</v>
      </c>
      <c r="I175" s="78">
        <f t="shared" si="298"/>
        <v>0</v>
      </c>
      <c r="J175" s="78">
        <f t="shared" si="285"/>
        <v>0</v>
      </c>
      <c r="K175" s="79">
        <f t="shared" si="299"/>
        <v>0</v>
      </c>
      <c r="L175" s="79">
        <f t="shared" si="286"/>
        <v>0</v>
      </c>
      <c r="M175" s="79">
        <v>0</v>
      </c>
      <c r="N175" s="79">
        <f t="shared" si="300"/>
        <v>0</v>
      </c>
      <c r="O175" s="79">
        <v>0</v>
      </c>
      <c r="P175" s="79">
        <f t="shared" si="301"/>
        <v>0</v>
      </c>
      <c r="Q175" s="79">
        <f t="shared" si="302"/>
        <v>0</v>
      </c>
      <c r="R175" s="79">
        <f t="shared" si="287"/>
        <v>0</v>
      </c>
      <c r="S175" s="80">
        <f t="shared" si="303"/>
        <v>0</v>
      </c>
      <c r="T175" s="80">
        <f t="shared" si="288"/>
        <v>0</v>
      </c>
      <c r="U175" s="80">
        <v>0</v>
      </c>
      <c r="V175" s="80">
        <f t="shared" si="304"/>
        <v>0</v>
      </c>
      <c r="W175" s="80">
        <v>0</v>
      </c>
      <c r="X175" s="80">
        <f t="shared" si="305"/>
        <v>0</v>
      </c>
      <c r="Y175" s="80">
        <f t="shared" si="306"/>
        <v>0</v>
      </c>
      <c r="Z175" s="80">
        <f t="shared" si="289"/>
        <v>0</v>
      </c>
      <c r="AA175" s="81">
        <f t="shared" si="307"/>
        <v>0</v>
      </c>
      <c r="AB175" s="81">
        <f t="shared" si="290"/>
        <v>0</v>
      </c>
      <c r="AC175" s="81">
        <v>0</v>
      </c>
      <c r="AD175" s="81">
        <f t="shared" si="308"/>
        <v>0</v>
      </c>
      <c r="AE175" s="81">
        <v>0</v>
      </c>
      <c r="AF175" s="81">
        <f t="shared" si="309"/>
        <v>0</v>
      </c>
      <c r="AG175" s="81">
        <f t="shared" si="310"/>
        <v>0</v>
      </c>
      <c r="AH175" s="81">
        <f t="shared" si="291"/>
        <v>0</v>
      </c>
      <c r="AI175" s="82">
        <f t="shared" si="311"/>
        <v>0</v>
      </c>
      <c r="AJ175" s="82">
        <f t="shared" si="292"/>
        <v>0</v>
      </c>
      <c r="AK175" s="82">
        <v>0</v>
      </c>
      <c r="AL175" s="82">
        <f t="shared" si="312"/>
        <v>0</v>
      </c>
      <c r="AM175" s="82">
        <v>0</v>
      </c>
      <c r="AN175" s="82">
        <f t="shared" si="313"/>
        <v>0</v>
      </c>
      <c r="AO175" s="82">
        <f t="shared" si="314"/>
        <v>0</v>
      </c>
      <c r="AP175" s="82">
        <f t="shared" si="293"/>
        <v>0</v>
      </c>
      <c r="AQ175" s="83">
        <f t="shared" si="315"/>
        <v>0</v>
      </c>
      <c r="AR175" s="83">
        <f t="shared" si="294"/>
        <v>0</v>
      </c>
      <c r="AS175" s="83">
        <v>0</v>
      </c>
      <c r="AT175" s="83">
        <f t="shared" si="316"/>
        <v>0</v>
      </c>
      <c r="AU175" s="83">
        <v>0</v>
      </c>
      <c r="AV175" s="83">
        <f t="shared" si="317"/>
        <v>0</v>
      </c>
      <c r="AW175" s="83">
        <f t="shared" si="318"/>
        <v>0</v>
      </c>
      <c r="AX175" s="83">
        <f t="shared" si="295"/>
        <v>0</v>
      </c>
    </row>
    <row r="176" spans="2:50" x14ac:dyDescent="0.35">
      <c r="B176" s="12" t="s">
        <v>27</v>
      </c>
      <c r="C176" s="85">
        <f>SUM(C159:C175)</f>
        <v>2930.2949494062013</v>
      </c>
      <c r="D176" s="85">
        <f t="shared" ref="D176:E176" si="319">SUM(D159:D175)</f>
        <v>2930.2949494062013</v>
      </c>
      <c r="E176" s="85">
        <f t="shared" si="319"/>
        <v>53.640639309999997</v>
      </c>
      <c r="F176" s="85">
        <v>53.638449147999992</v>
      </c>
      <c r="G176" s="85">
        <f t="shared" ref="G176:M176" si="320">SUM(G159:G175)</f>
        <v>2.526055978</v>
      </c>
      <c r="H176" s="85">
        <f t="shared" si="320"/>
        <v>2.526055978</v>
      </c>
      <c r="I176" s="85">
        <f t="shared" si="320"/>
        <v>2981.4095327382015</v>
      </c>
      <c r="J176" s="85">
        <f t="shared" si="320"/>
        <v>2981.4073425762008</v>
      </c>
      <c r="K176" s="86">
        <f t="shared" si="320"/>
        <v>2981.4095327382015</v>
      </c>
      <c r="L176" s="86">
        <f t="shared" si="320"/>
        <v>2981.4073425762008</v>
      </c>
      <c r="M176" s="86">
        <f t="shared" si="320"/>
        <v>26.411331205999996</v>
      </c>
      <c r="N176" s="86">
        <v>26.374344087000001</v>
      </c>
      <c r="O176" s="86">
        <f t="shared" ref="O176:U176" si="321">SUM(O159:O175)</f>
        <v>0</v>
      </c>
      <c r="P176" s="86">
        <f t="shared" si="321"/>
        <v>0</v>
      </c>
      <c r="Q176" s="86">
        <f t="shared" si="321"/>
        <v>3007.8208639442009</v>
      </c>
      <c r="R176" s="86">
        <f t="shared" si="321"/>
        <v>3007.7816866632006</v>
      </c>
      <c r="S176" s="87">
        <f t="shared" si="321"/>
        <v>3007.8208639442009</v>
      </c>
      <c r="T176" s="87">
        <f t="shared" si="321"/>
        <v>3007.7816866632006</v>
      </c>
      <c r="U176" s="87">
        <f t="shared" si="321"/>
        <v>63.394121661</v>
      </c>
      <c r="V176" s="87">
        <v>59.54</v>
      </c>
      <c r="W176" s="87">
        <f t="shared" ref="W176:AC176" si="322">SUM(W159:W175)</f>
        <v>0.73659660000000005</v>
      </c>
      <c r="X176" s="87">
        <f t="shared" si="322"/>
        <v>0.73659660000000005</v>
      </c>
      <c r="Y176" s="87">
        <f t="shared" si="322"/>
        <v>3070.4783890052008</v>
      </c>
      <c r="Z176" s="87">
        <f t="shared" si="322"/>
        <v>3066.5850900632008</v>
      </c>
      <c r="AA176" s="88">
        <f t="shared" si="322"/>
        <v>3070.4783890052008</v>
      </c>
      <c r="AB176" s="88">
        <f t="shared" si="322"/>
        <v>3066.5850900632008</v>
      </c>
      <c r="AC176" s="88">
        <f t="shared" si="322"/>
        <v>38.15</v>
      </c>
      <c r="AD176" s="88">
        <v>37.570000000000007</v>
      </c>
      <c r="AE176" s="88">
        <f t="shared" ref="AE176:AK176" si="323">SUM(AE159:AE175)</f>
        <v>0</v>
      </c>
      <c r="AF176" s="88">
        <f t="shared" si="323"/>
        <v>0</v>
      </c>
      <c r="AG176" s="88">
        <f t="shared" si="323"/>
        <v>3108.6283890052009</v>
      </c>
      <c r="AH176" s="88">
        <f t="shared" si="323"/>
        <v>3104.155090063201</v>
      </c>
      <c r="AI176" s="89">
        <f t="shared" si="323"/>
        <v>3108.6283890052009</v>
      </c>
      <c r="AJ176" s="89">
        <f t="shared" si="323"/>
        <v>3104.155090063201</v>
      </c>
      <c r="AK176" s="89">
        <f t="shared" si="323"/>
        <v>27.39</v>
      </c>
      <c r="AL176" s="89">
        <v>25.8</v>
      </c>
      <c r="AM176" s="89">
        <f t="shared" ref="AM176:AS176" si="324">SUM(AM159:AM175)</f>
        <v>0</v>
      </c>
      <c r="AN176" s="89">
        <f t="shared" si="324"/>
        <v>0</v>
      </c>
      <c r="AO176" s="89">
        <f t="shared" si="324"/>
        <v>3136.0183890052008</v>
      </c>
      <c r="AP176" s="89">
        <f t="shared" si="324"/>
        <v>3129.9550900632012</v>
      </c>
      <c r="AQ176" s="90">
        <f t="shared" si="324"/>
        <v>3136.0183890052008</v>
      </c>
      <c r="AR176" s="90">
        <f t="shared" si="324"/>
        <v>3129.9550900632012</v>
      </c>
      <c r="AS176" s="90">
        <f t="shared" si="324"/>
        <v>1017.98</v>
      </c>
      <c r="AT176" s="90">
        <v>145.02000000000001</v>
      </c>
      <c r="AU176" s="90">
        <f t="shared" ref="AU176:AX176" si="325">SUM(AU159:AU175)</f>
        <v>0</v>
      </c>
      <c r="AV176" s="90">
        <f t="shared" si="325"/>
        <v>0</v>
      </c>
      <c r="AW176" s="90">
        <f t="shared" si="325"/>
        <v>4153.9983890052008</v>
      </c>
      <c r="AX176" s="90">
        <f t="shared" si="325"/>
        <v>3274.9750900632012</v>
      </c>
    </row>
    <row r="177" spans="1:50" s="77" customFormat="1" x14ac:dyDescent="0.35">
      <c r="B177" s="70" t="s">
        <v>8</v>
      </c>
      <c r="C177" s="71"/>
      <c r="D177" s="71"/>
      <c r="E177" s="71"/>
      <c r="F177" s="71"/>
      <c r="G177" s="71"/>
      <c r="H177" s="71"/>
      <c r="I177" s="71"/>
      <c r="J177" s="71"/>
      <c r="K177" s="72"/>
      <c r="L177" s="72"/>
      <c r="M177" s="72"/>
      <c r="N177" s="72"/>
      <c r="O177" s="72"/>
      <c r="P177" s="72"/>
      <c r="Q177" s="72"/>
      <c r="R177" s="72"/>
      <c r="S177" s="73"/>
      <c r="T177" s="73"/>
      <c r="U177" s="73"/>
      <c r="V177" s="73"/>
      <c r="W177" s="73"/>
      <c r="X177" s="73"/>
      <c r="Y177" s="73"/>
      <c r="Z177" s="73"/>
      <c r="AA177" s="74"/>
      <c r="AB177" s="74"/>
      <c r="AC177" s="74"/>
      <c r="AD177" s="74"/>
      <c r="AE177" s="74"/>
      <c r="AF177" s="74"/>
      <c r="AG177" s="74"/>
      <c r="AH177" s="74"/>
      <c r="AI177" s="75"/>
      <c r="AJ177" s="75"/>
      <c r="AK177" s="75"/>
      <c r="AL177" s="75"/>
      <c r="AM177" s="75"/>
      <c r="AN177" s="75"/>
      <c r="AO177" s="75"/>
      <c r="AP177" s="75"/>
      <c r="AQ177" s="76"/>
      <c r="AR177" s="76"/>
      <c r="AS177" s="76"/>
      <c r="AT177" s="76"/>
      <c r="AU177" s="76"/>
      <c r="AV177" s="76"/>
      <c r="AW177" s="76"/>
      <c r="AX177" s="76"/>
    </row>
    <row r="178" spans="1:50" x14ac:dyDescent="0.35">
      <c r="A178" s="91"/>
      <c r="B178" s="7" t="s">
        <v>133</v>
      </c>
      <c r="C178" s="78">
        <v>1.189656864</v>
      </c>
      <c r="D178" s="147">
        <f>0+C178</f>
        <v>1.189656864</v>
      </c>
      <c r="E178" s="78">
        <v>0</v>
      </c>
      <c r="F178" s="78">
        <f>IFERROR(E178/E$195*F$195,0)</f>
        <v>0</v>
      </c>
      <c r="G178" s="78">
        <v>0</v>
      </c>
      <c r="H178" s="78">
        <f>G178</f>
        <v>0</v>
      </c>
      <c r="I178" s="78">
        <f>C178+E178-G178</f>
        <v>1.189656864</v>
      </c>
      <c r="J178" s="78">
        <f t="shared" ref="J178:J194" si="326">D178+F178-H178</f>
        <v>1.189656864</v>
      </c>
      <c r="K178" s="79">
        <f>I178</f>
        <v>1.189656864</v>
      </c>
      <c r="L178" s="79">
        <f t="shared" ref="L178:L194" si="327">J178</f>
        <v>1.189656864</v>
      </c>
      <c r="M178" s="79">
        <v>0</v>
      </c>
      <c r="N178" s="79">
        <f>IFERROR(M178/M$195*N$195,0)</f>
        <v>0</v>
      </c>
      <c r="O178" s="79">
        <v>0</v>
      </c>
      <c r="P178" s="79">
        <f>O178</f>
        <v>0</v>
      </c>
      <c r="Q178" s="79">
        <f>K178+M178-O178</f>
        <v>1.189656864</v>
      </c>
      <c r="R178" s="79">
        <f t="shared" ref="R178:R194" si="328">L178+N178-P178</f>
        <v>1.189656864</v>
      </c>
      <c r="S178" s="80">
        <f>Q178</f>
        <v>1.189656864</v>
      </c>
      <c r="T178" s="80">
        <f t="shared" ref="T178:T194" si="329">R178</f>
        <v>1.189656864</v>
      </c>
      <c r="U178" s="80">
        <v>0</v>
      </c>
      <c r="V178" s="80">
        <f>IFERROR(U178/U$195*V$195,0)</f>
        <v>0</v>
      </c>
      <c r="W178" s="80">
        <v>0</v>
      </c>
      <c r="X178" s="80">
        <f>W178</f>
        <v>0</v>
      </c>
      <c r="Y178" s="80">
        <f>S178+U178-W178</f>
        <v>1.189656864</v>
      </c>
      <c r="Z178" s="80">
        <f t="shared" ref="Z178:Z194" si="330">T178+V178-X178</f>
        <v>1.189656864</v>
      </c>
      <c r="AA178" s="81">
        <f>Y178</f>
        <v>1.189656864</v>
      </c>
      <c r="AB178" s="81">
        <f t="shared" ref="AB178:AB194" si="331">Z178</f>
        <v>1.189656864</v>
      </c>
      <c r="AC178" s="81">
        <v>0</v>
      </c>
      <c r="AD178" s="81">
        <f>IFERROR(AC178/AC$195*AD$195,0)</f>
        <v>0</v>
      </c>
      <c r="AE178" s="81">
        <v>0</v>
      </c>
      <c r="AF178" s="81">
        <f>AE178</f>
        <v>0</v>
      </c>
      <c r="AG178" s="81">
        <f>AA178+AC178-AE178</f>
        <v>1.189656864</v>
      </c>
      <c r="AH178" s="81">
        <f t="shared" ref="AH178:AH194" si="332">AB178+AD178-AF178</f>
        <v>1.189656864</v>
      </c>
      <c r="AI178" s="82">
        <f>AG178</f>
        <v>1.189656864</v>
      </c>
      <c r="AJ178" s="82">
        <f t="shared" ref="AJ178:AJ194" si="333">AH178</f>
        <v>1.189656864</v>
      </c>
      <c r="AK178" s="82">
        <v>0</v>
      </c>
      <c r="AL178" s="82">
        <f>IFERROR(AK178/AK$195*AL$195,0)</f>
        <v>0</v>
      </c>
      <c r="AM178" s="82">
        <v>0</v>
      </c>
      <c r="AN178" s="82">
        <f>AM178</f>
        <v>0</v>
      </c>
      <c r="AO178" s="82">
        <f>AI178+AK178-AM178</f>
        <v>1.189656864</v>
      </c>
      <c r="AP178" s="82">
        <f t="shared" ref="AP178:AP194" si="334">AJ178+AL178-AN178</f>
        <v>1.189656864</v>
      </c>
      <c r="AQ178" s="83">
        <f>AO178</f>
        <v>1.189656864</v>
      </c>
      <c r="AR178" s="83">
        <f t="shared" ref="AR178:AR194" si="335">AP178</f>
        <v>1.189656864</v>
      </c>
      <c r="AS178" s="83">
        <v>0</v>
      </c>
      <c r="AT178" s="83">
        <f>IFERROR(AS178/AS$195*AT$195,0)</f>
        <v>0</v>
      </c>
      <c r="AU178" s="83">
        <v>0</v>
      </c>
      <c r="AV178" s="83">
        <f>AU178</f>
        <v>0</v>
      </c>
      <c r="AW178" s="83">
        <f>AQ178+AS178-AU178</f>
        <v>1.189656864</v>
      </c>
      <c r="AX178" s="83">
        <f t="shared" ref="AX178:AX194" si="336">AR178+AT178-AV178</f>
        <v>1.189656864</v>
      </c>
    </row>
    <row r="179" spans="1:50" x14ac:dyDescent="0.35">
      <c r="A179" s="91"/>
      <c r="B179" s="7" t="s">
        <v>134</v>
      </c>
      <c r="C179" s="78">
        <v>30.915385523478093</v>
      </c>
      <c r="D179" s="92">
        <v>30.915385523478093</v>
      </c>
      <c r="E179" s="78">
        <v>0</v>
      </c>
      <c r="F179" s="78">
        <f t="shared" ref="F179:F194" si="337">IFERROR(E179/E$195*F$195,0)</f>
        <v>0</v>
      </c>
      <c r="G179" s="78">
        <v>0</v>
      </c>
      <c r="H179" s="78">
        <f t="shared" ref="H179:H194" si="338">G179</f>
        <v>0</v>
      </c>
      <c r="I179" s="78">
        <f t="shared" ref="I179:I194" si="339">C179+E179-G179</f>
        <v>30.915385523478093</v>
      </c>
      <c r="J179" s="78">
        <f t="shared" si="326"/>
        <v>30.915385523478093</v>
      </c>
      <c r="K179" s="79">
        <f t="shared" ref="K179:K194" si="340">I179</f>
        <v>30.915385523478093</v>
      </c>
      <c r="L179" s="79">
        <f t="shared" si="327"/>
        <v>30.915385523478093</v>
      </c>
      <c r="M179" s="79">
        <v>0</v>
      </c>
      <c r="N179" s="79">
        <f t="shared" ref="N179:N194" si="341">IFERROR(M179/M$195*N$195,0)</f>
        <v>0</v>
      </c>
      <c r="O179" s="79">
        <v>0</v>
      </c>
      <c r="P179" s="79">
        <f t="shared" ref="P179:P194" si="342">O179</f>
        <v>0</v>
      </c>
      <c r="Q179" s="79">
        <f t="shared" ref="Q179:Q194" si="343">K179+M179-O179</f>
        <v>30.915385523478093</v>
      </c>
      <c r="R179" s="79">
        <f t="shared" si="328"/>
        <v>30.915385523478093</v>
      </c>
      <c r="S179" s="80">
        <f t="shared" ref="S179:S194" si="344">Q179</f>
        <v>30.915385523478093</v>
      </c>
      <c r="T179" s="80">
        <f t="shared" si="329"/>
        <v>30.915385523478093</v>
      </c>
      <c r="U179" s="80">
        <v>0</v>
      </c>
      <c r="V179" s="80">
        <f t="shared" ref="V179:V194" si="345">IFERROR(U179/U$195*V$195,0)</f>
        <v>0</v>
      </c>
      <c r="W179" s="80">
        <v>0</v>
      </c>
      <c r="X179" s="80">
        <f t="shared" ref="X179:X194" si="346">W179</f>
        <v>0</v>
      </c>
      <c r="Y179" s="80">
        <f t="shared" ref="Y179:Y194" si="347">S179+U179-W179</f>
        <v>30.915385523478093</v>
      </c>
      <c r="Z179" s="80">
        <f t="shared" si="330"/>
        <v>30.915385523478093</v>
      </c>
      <c r="AA179" s="81">
        <f t="shared" ref="AA179:AA194" si="348">Y179</f>
        <v>30.915385523478093</v>
      </c>
      <c r="AB179" s="81">
        <f t="shared" si="331"/>
        <v>30.915385523478093</v>
      </c>
      <c r="AC179" s="81">
        <v>0</v>
      </c>
      <c r="AD179" s="81">
        <f t="shared" ref="AD179:AD194" si="349">IFERROR(AC179/AC$195*AD$195,0)</f>
        <v>0</v>
      </c>
      <c r="AE179" s="81">
        <v>0</v>
      </c>
      <c r="AF179" s="81">
        <f t="shared" ref="AF179:AF194" si="350">AE179</f>
        <v>0</v>
      </c>
      <c r="AG179" s="81">
        <f t="shared" ref="AG179:AG194" si="351">AA179+AC179-AE179</f>
        <v>30.915385523478093</v>
      </c>
      <c r="AH179" s="81">
        <f t="shared" si="332"/>
        <v>30.915385523478093</v>
      </c>
      <c r="AI179" s="82">
        <f t="shared" ref="AI179:AI194" si="352">AG179</f>
        <v>30.915385523478093</v>
      </c>
      <c r="AJ179" s="82">
        <f t="shared" si="333"/>
        <v>30.915385523478093</v>
      </c>
      <c r="AK179" s="82">
        <v>0</v>
      </c>
      <c r="AL179" s="82">
        <f t="shared" ref="AL179:AL194" si="353">IFERROR(AK179/AK$195*AL$195,0)</f>
        <v>0</v>
      </c>
      <c r="AM179" s="82">
        <v>0</v>
      </c>
      <c r="AN179" s="82">
        <f t="shared" ref="AN179:AN194" si="354">AM179</f>
        <v>0</v>
      </c>
      <c r="AO179" s="82">
        <f t="shared" ref="AO179:AO194" si="355">AI179+AK179-AM179</f>
        <v>30.915385523478093</v>
      </c>
      <c r="AP179" s="82">
        <f t="shared" si="334"/>
        <v>30.915385523478093</v>
      </c>
      <c r="AQ179" s="83">
        <f t="shared" ref="AQ179:AQ194" si="356">AO179</f>
        <v>30.915385523478093</v>
      </c>
      <c r="AR179" s="83">
        <f t="shared" si="335"/>
        <v>30.915385523478093</v>
      </c>
      <c r="AS179" s="83">
        <v>0</v>
      </c>
      <c r="AT179" s="83">
        <f t="shared" ref="AT179:AT194" si="357">IFERROR(AS179/AS$195*AT$195,0)</f>
        <v>0</v>
      </c>
      <c r="AU179" s="83">
        <v>0</v>
      </c>
      <c r="AV179" s="83">
        <f t="shared" ref="AV179:AV194" si="358">AU179</f>
        <v>0</v>
      </c>
      <c r="AW179" s="83">
        <f t="shared" ref="AW179:AW194" si="359">AQ179+AS179-AU179</f>
        <v>30.915385523478093</v>
      </c>
      <c r="AX179" s="83">
        <f t="shared" si="336"/>
        <v>30.915385523478093</v>
      </c>
    </row>
    <row r="180" spans="1:50" ht="31" x14ac:dyDescent="0.35">
      <c r="A180" s="91"/>
      <c r="B180" s="84" t="s">
        <v>135</v>
      </c>
      <c r="C180" s="78">
        <v>263.05842400369079</v>
      </c>
      <c r="D180" s="92">
        <v>263.05842400369079</v>
      </c>
      <c r="E180" s="78">
        <v>0</v>
      </c>
      <c r="F180" s="78">
        <f t="shared" si="337"/>
        <v>0</v>
      </c>
      <c r="G180" s="78">
        <v>0</v>
      </c>
      <c r="H180" s="78">
        <f t="shared" si="338"/>
        <v>0</v>
      </c>
      <c r="I180" s="78">
        <f t="shared" si="339"/>
        <v>263.05842400369079</v>
      </c>
      <c r="J180" s="78">
        <f t="shared" si="326"/>
        <v>263.05842400369079</v>
      </c>
      <c r="K180" s="79">
        <f t="shared" si="340"/>
        <v>263.05842400369079</v>
      </c>
      <c r="L180" s="79">
        <f t="shared" si="327"/>
        <v>263.05842400369079</v>
      </c>
      <c r="M180" s="79">
        <v>0</v>
      </c>
      <c r="N180" s="79">
        <f t="shared" si="341"/>
        <v>0</v>
      </c>
      <c r="O180" s="79">
        <v>5.0626499999999997</v>
      </c>
      <c r="P180" s="79">
        <f t="shared" si="342"/>
        <v>5.0626499999999997</v>
      </c>
      <c r="Q180" s="79">
        <f t="shared" si="343"/>
        <v>257.99577400369077</v>
      </c>
      <c r="R180" s="79">
        <f t="shared" si="328"/>
        <v>257.99577400369077</v>
      </c>
      <c r="S180" s="80">
        <f t="shared" si="344"/>
        <v>257.99577400369077</v>
      </c>
      <c r="T180" s="80">
        <f t="shared" si="329"/>
        <v>257.99577400369077</v>
      </c>
      <c r="U180" s="80">
        <v>0</v>
      </c>
      <c r="V180" s="80">
        <f t="shared" si="345"/>
        <v>0</v>
      </c>
      <c r="W180" s="80">
        <v>0</v>
      </c>
      <c r="X180" s="80">
        <f t="shared" si="346"/>
        <v>0</v>
      </c>
      <c r="Y180" s="80">
        <f t="shared" si="347"/>
        <v>257.99577400369077</v>
      </c>
      <c r="Z180" s="80">
        <f t="shared" si="330"/>
        <v>257.99577400369077</v>
      </c>
      <c r="AA180" s="81">
        <f t="shared" si="348"/>
        <v>257.99577400369077</v>
      </c>
      <c r="AB180" s="81">
        <f t="shared" si="331"/>
        <v>257.99577400369077</v>
      </c>
      <c r="AC180" s="81">
        <v>0</v>
      </c>
      <c r="AD180" s="81">
        <f t="shared" si="349"/>
        <v>0</v>
      </c>
      <c r="AE180" s="81">
        <v>0</v>
      </c>
      <c r="AF180" s="81">
        <f t="shared" si="350"/>
        <v>0</v>
      </c>
      <c r="AG180" s="81">
        <f t="shared" si="351"/>
        <v>257.99577400369077</v>
      </c>
      <c r="AH180" s="81">
        <f t="shared" si="332"/>
        <v>257.99577400369077</v>
      </c>
      <c r="AI180" s="82">
        <f t="shared" si="352"/>
        <v>257.99577400369077</v>
      </c>
      <c r="AJ180" s="82">
        <f t="shared" si="333"/>
        <v>257.99577400369077</v>
      </c>
      <c r="AK180" s="82">
        <v>0</v>
      </c>
      <c r="AL180" s="82">
        <f t="shared" si="353"/>
        <v>0</v>
      </c>
      <c r="AM180" s="82">
        <v>0</v>
      </c>
      <c r="AN180" s="82">
        <f t="shared" si="354"/>
        <v>0</v>
      </c>
      <c r="AO180" s="82">
        <f t="shared" si="355"/>
        <v>257.99577400369077</v>
      </c>
      <c r="AP180" s="82">
        <f t="shared" si="334"/>
        <v>257.99577400369077</v>
      </c>
      <c r="AQ180" s="83">
        <f t="shared" si="356"/>
        <v>257.99577400369077</v>
      </c>
      <c r="AR180" s="83">
        <f t="shared" si="335"/>
        <v>257.99577400369077</v>
      </c>
      <c r="AS180" s="83">
        <v>0</v>
      </c>
      <c r="AT180" s="83">
        <f t="shared" si="357"/>
        <v>0</v>
      </c>
      <c r="AU180" s="83">
        <v>0</v>
      </c>
      <c r="AV180" s="83">
        <f t="shared" si="358"/>
        <v>0</v>
      </c>
      <c r="AW180" s="83">
        <f t="shared" si="359"/>
        <v>257.99577400369077</v>
      </c>
      <c r="AX180" s="83">
        <f t="shared" si="336"/>
        <v>257.99577400369077</v>
      </c>
    </row>
    <row r="181" spans="1:50" x14ac:dyDescent="0.35">
      <c r="A181" s="91"/>
      <c r="B181" s="7" t="s">
        <v>136</v>
      </c>
      <c r="C181" s="78">
        <v>4.097600464938445</v>
      </c>
      <c r="D181" s="92">
        <v>4.097600464938445</v>
      </c>
      <c r="E181" s="78">
        <v>0</v>
      </c>
      <c r="F181" s="78">
        <f t="shared" si="337"/>
        <v>0</v>
      </c>
      <c r="G181" s="78">
        <v>0</v>
      </c>
      <c r="H181" s="78">
        <f t="shared" si="338"/>
        <v>0</v>
      </c>
      <c r="I181" s="78">
        <f t="shared" si="339"/>
        <v>4.097600464938445</v>
      </c>
      <c r="J181" s="78">
        <f t="shared" si="326"/>
        <v>4.097600464938445</v>
      </c>
      <c r="K181" s="79">
        <f t="shared" si="340"/>
        <v>4.097600464938445</v>
      </c>
      <c r="L181" s="79">
        <f t="shared" si="327"/>
        <v>4.097600464938445</v>
      </c>
      <c r="M181" s="79">
        <v>0</v>
      </c>
      <c r="N181" s="79">
        <f t="shared" si="341"/>
        <v>0</v>
      </c>
      <c r="O181" s="79">
        <v>0</v>
      </c>
      <c r="P181" s="79">
        <f t="shared" si="342"/>
        <v>0</v>
      </c>
      <c r="Q181" s="79">
        <f t="shared" si="343"/>
        <v>4.097600464938445</v>
      </c>
      <c r="R181" s="79">
        <f t="shared" si="328"/>
        <v>4.097600464938445</v>
      </c>
      <c r="S181" s="80">
        <f t="shared" si="344"/>
        <v>4.097600464938445</v>
      </c>
      <c r="T181" s="80">
        <f t="shared" si="329"/>
        <v>4.097600464938445</v>
      </c>
      <c r="U181" s="80">
        <v>12.703620058</v>
      </c>
      <c r="V181" s="80">
        <f t="shared" si="345"/>
        <v>12.703620058336464</v>
      </c>
      <c r="W181" s="80">
        <v>0</v>
      </c>
      <c r="X181" s="80">
        <f t="shared" si="346"/>
        <v>0</v>
      </c>
      <c r="Y181" s="80">
        <f t="shared" si="347"/>
        <v>16.801220522938443</v>
      </c>
      <c r="Z181" s="80">
        <f t="shared" si="330"/>
        <v>16.801220523274907</v>
      </c>
      <c r="AA181" s="81">
        <f t="shared" si="348"/>
        <v>16.801220522938443</v>
      </c>
      <c r="AB181" s="81">
        <f t="shared" si="331"/>
        <v>16.801220523274907</v>
      </c>
      <c r="AC181" s="81">
        <v>0</v>
      </c>
      <c r="AD181" s="81">
        <f t="shared" si="349"/>
        <v>0</v>
      </c>
      <c r="AE181" s="81">
        <v>0</v>
      </c>
      <c r="AF181" s="81">
        <f t="shared" si="350"/>
        <v>0</v>
      </c>
      <c r="AG181" s="81">
        <f t="shared" si="351"/>
        <v>16.801220522938443</v>
      </c>
      <c r="AH181" s="81">
        <f t="shared" si="332"/>
        <v>16.801220523274907</v>
      </c>
      <c r="AI181" s="82">
        <f t="shared" si="352"/>
        <v>16.801220522938443</v>
      </c>
      <c r="AJ181" s="82">
        <f t="shared" si="333"/>
        <v>16.801220523274907</v>
      </c>
      <c r="AK181" s="82">
        <v>0</v>
      </c>
      <c r="AL181" s="82">
        <f t="shared" si="353"/>
        <v>0</v>
      </c>
      <c r="AM181" s="82">
        <v>0</v>
      </c>
      <c r="AN181" s="82">
        <f t="shared" si="354"/>
        <v>0</v>
      </c>
      <c r="AO181" s="82">
        <f t="shared" si="355"/>
        <v>16.801220522938443</v>
      </c>
      <c r="AP181" s="82">
        <f t="shared" si="334"/>
        <v>16.801220523274907</v>
      </c>
      <c r="AQ181" s="83">
        <f t="shared" si="356"/>
        <v>16.801220522938443</v>
      </c>
      <c r="AR181" s="83">
        <f t="shared" si="335"/>
        <v>16.801220523274907</v>
      </c>
      <c r="AS181" s="83">
        <v>0</v>
      </c>
      <c r="AT181" s="83">
        <f t="shared" si="357"/>
        <v>0</v>
      </c>
      <c r="AU181" s="83">
        <v>0</v>
      </c>
      <c r="AV181" s="83">
        <f t="shared" si="358"/>
        <v>0</v>
      </c>
      <c r="AW181" s="83">
        <f t="shared" si="359"/>
        <v>16.801220522938443</v>
      </c>
      <c r="AX181" s="83">
        <f t="shared" si="336"/>
        <v>16.801220523274907</v>
      </c>
    </row>
    <row r="182" spans="1:50" x14ac:dyDescent="0.35">
      <c r="A182" s="91"/>
      <c r="B182" s="7" t="s">
        <v>137</v>
      </c>
      <c r="C182" s="78">
        <v>471.18222866557454</v>
      </c>
      <c r="D182" s="147">
        <f>416.233213951575*0+C182</f>
        <v>471.18222866557454</v>
      </c>
      <c r="E182" s="78">
        <v>2.6732106</v>
      </c>
      <c r="F182" s="78">
        <f t="shared" si="337"/>
        <v>2.6724802674816703</v>
      </c>
      <c r="G182" s="78">
        <v>0</v>
      </c>
      <c r="H182" s="78">
        <f t="shared" si="338"/>
        <v>0</v>
      </c>
      <c r="I182" s="78">
        <f t="shared" si="339"/>
        <v>473.85543926557455</v>
      </c>
      <c r="J182" s="78">
        <f t="shared" si="326"/>
        <v>473.8547089330562</v>
      </c>
      <c r="K182" s="79">
        <f t="shared" si="340"/>
        <v>473.85543926557455</v>
      </c>
      <c r="L182" s="79">
        <f t="shared" si="327"/>
        <v>473.8547089330562</v>
      </c>
      <c r="M182" s="79">
        <v>4.4319290999999996</v>
      </c>
      <c r="N182" s="79">
        <f t="shared" si="341"/>
        <v>4.4319290999999996</v>
      </c>
      <c r="O182" s="79">
        <v>0</v>
      </c>
      <c r="P182" s="79">
        <f t="shared" si="342"/>
        <v>0</v>
      </c>
      <c r="Q182" s="79">
        <f t="shared" si="343"/>
        <v>478.28736836557454</v>
      </c>
      <c r="R182" s="79">
        <f t="shared" si="328"/>
        <v>478.28663803305619</v>
      </c>
      <c r="S182" s="80">
        <f t="shared" si="344"/>
        <v>478.28736836557454</v>
      </c>
      <c r="T182" s="80">
        <f t="shared" si="329"/>
        <v>478.28663803305619</v>
      </c>
      <c r="U182" s="80">
        <v>61.504112104360594</v>
      </c>
      <c r="V182" s="80">
        <f t="shared" si="345"/>
        <v>61.50411210598957</v>
      </c>
      <c r="W182" s="80">
        <v>0</v>
      </c>
      <c r="X182" s="80">
        <f t="shared" si="346"/>
        <v>0</v>
      </c>
      <c r="Y182" s="80">
        <f t="shared" si="347"/>
        <v>539.7914804699351</v>
      </c>
      <c r="Z182" s="80">
        <f t="shared" si="330"/>
        <v>539.79075013904571</v>
      </c>
      <c r="AA182" s="81">
        <f t="shared" si="348"/>
        <v>539.7914804699351</v>
      </c>
      <c r="AB182" s="81">
        <f t="shared" si="331"/>
        <v>539.79075013904571</v>
      </c>
      <c r="AC182" s="81">
        <v>0</v>
      </c>
      <c r="AD182" s="81">
        <f t="shared" si="349"/>
        <v>0</v>
      </c>
      <c r="AE182" s="81">
        <v>0</v>
      </c>
      <c r="AF182" s="81">
        <f t="shared" si="350"/>
        <v>0</v>
      </c>
      <c r="AG182" s="81">
        <f t="shared" si="351"/>
        <v>539.7914804699351</v>
      </c>
      <c r="AH182" s="81">
        <f t="shared" si="332"/>
        <v>539.79075013904571</v>
      </c>
      <c r="AI182" s="82">
        <f t="shared" si="352"/>
        <v>539.7914804699351</v>
      </c>
      <c r="AJ182" s="82">
        <f t="shared" si="333"/>
        <v>539.79075013904571</v>
      </c>
      <c r="AK182" s="82">
        <v>0</v>
      </c>
      <c r="AL182" s="82">
        <f t="shared" si="353"/>
        <v>0</v>
      </c>
      <c r="AM182" s="82">
        <v>0</v>
      </c>
      <c r="AN182" s="82">
        <f t="shared" si="354"/>
        <v>0</v>
      </c>
      <c r="AO182" s="82">
        <f t="shared" si="355"/>
        <v>539.7914804699351</v>
      </c>
      <c r="AP182" s="82">
        <f t="shared" si="334"/>
        <v>539.79075013904571</v>
      </c>
      <c r="AQ182" s="83">
        <f t="shared" si="356"/>
        <v>539.7914804699351</v>
      </c>
      <c r="AR182" s="83">
        <f t="shared" si="335"/>
        <v>539.79075013904571</v>
      </c>
      <c r="AS182" s="83">
        <v>0</v>
      </c>
      <c r="AT182" s="83">
        <f t="shared" si="357"/>
        <v>0</v>
      </c>
      <c r="AU182" s="83">
        <v>0</v>
      </c>
      <c r="AV182" s="83">
        <f t="shared" si="358"/>
        <v>0</v>
      </c>
      <c r="AW182" s="83">
        <f t="shared" si="359"/>
        <v>539.7914804699351</v>
      </c>
      <c r="AX182" s="83">
        <f t="shared" si="336"/>
        <v>539.79075013904571</v>
      </c>
    </row>
    <row r="183" spans="1:50" x14ac:dyDescent="0.35">
      <c r="A183" s="91"/>
      <c r="B183" s="7" t="s">
        <v>138</v>
      </c>
      <c r="C183" s="78">
        <v>2598.3639915027566</v>
      </c>
      <c r="D183" s="147">
        <f>2560.17921569976*0+C183+'Review Order_180 of 2020'!D4</f>
        <v>2638.0239915027564</v>
      </c>
      <c r="E183" s="78">
        <v>2.8783060979999999</v>
      </c>
      <c r="F183" s="78">
        <f t="shared" si="337"/>
        <v>2.877519732518329</v>
      </c>
      <c r="G183" s="78">
        <v>0</v>
      </c>
      <c r="H183" s="78">
        <f t="shared" si="338"/>
        <v>0</v>
      </c>
      <c r="I183" s="78">
        <f t="shared" si="339"/>
        <v>2601.2422976007565</v>
      </c>
      <c r="J183" s="78">
        <f t="shared" si="326"/>
        <v>2640.9015112352749</v>
      </c>
      <c r="K183" s="79">
        <f t="shared" si="340"/>
        <v>2601.2422976007565</v>
      </c>
      <c r="L183" s="79">
        <f t="shared" si="327"/>
        <v>2640.9015112352749</v>
      </c>
      <c r="M183" s="79">
        <v>12.408401337999999</v>
      </c>
      <c r="N183" s="79">
        <f t="shared" si="341"/>
        <v>12.408401337999999</v>
      </c>
      <c r="O183" s="79">
        <v>0</v>
      </c>
      <c r="P183" s="79">
        <f t="shared" si="342"/>
        <v>0</v>
      </c>
      <c r="Q183" s="79">
        <f t="shared" si="343"/>
        <v>2613.6506989387567</v>
      </c>
      <c r="R183" s="79">
        <f t="shared" si="328"/>
        <v>2653.3099125732751</v>
      </c>
      <c r="S183" s="80">
        <f t="shared" si="344"/>
        <v>2613.6506989387567</v>
      </c>
      <c r="T183" s="80">
        <f t="shared" si="329"/>
        <v>2653.3099125732751</v>
      </c>
      <c r="U183" s="80">
        <v>1.3035851759999999</v>
      </c>
      <c r="V183" s="80">
        <f t="shared" si="345"/>
        <v>1.3035851760345263</v>
      </c>
      <c r="W183" s="80">
        <v>4.9153776999999996</v>
      </c>
      <c r="X183" s="80">
        <f t="shared" si="346"/>
        <v>4.9153776999999996</v>
      </c>
      <c r="Y183" s="80">
        <f t="shared" si="347"/>
        <v>2610.0389064147566</v>
      </c>
      <c r="Z183" s="80">
        <f t="shared" si="330"/>
        <v>2649.6981200493096</v>
      </c>
      <c r="AA183" s="81">
        <f t="shared" si="348"/>
        <v>2610.0389064147566</v>
      </c>
      <c r="AB183" s="81">
        <f t="shared" si="331"/>
        <v>2649.6981200493096</v>
      </c>
      <c r="AC183" s="81">
        <v>22.53</v>
      </c>
      <c r="AD183" s="81">
        <f t="shared" si="349"/>
        <v>22.099999999999998</v>
      </c>
      <c r="AE183" s="81">
        <v>0</v>
      </c>
      <c r="AF183" s="81">
        <f t="shared" si="350"/>
        <v>0</v>
      </c>
      <c r="AG183" s="81">
        <f t="shared" si="351"/>
        <v>2632.5689064147568</v>
      </c>
      <c r="AH183" s="81">
        <f t="shared" si="332"/>
        <v>2671.7981200493095</v>
      </c>
      <c r="AI183" s="82">
        <f t="shared" si="352"/>
        <v>2632.5689064147568</v>
      </c>
      <c r="AJ183" s="82">
        <f t="shared" si="333"/>
        <v>2671.7981200493095</v>
      </c>
      <c r="AK183" s="82">
        <v>342.38</v>
      </c>
      <c r="AL183" s="82">
        <f t="shared" si="353"/>
        <v>269.40760869565219</v>
      </c>
      <c r="AM183" s="82">
        <v>0</v>
      </c>
      <c r="AN183" s="82">
        <f t="shared" si="354"/>
        <v>0</v>
      </c>
      <c r="AO183" s="82">
        <f t="shared" si="355"/>
        <v>2974.9489064147569</v>
      </c>
      <c r="AP183" s="82">
        <f t="shared" si="334"/>
        <v>2941.2057287449616</v>
      </c>
      <c r="AQ183" s="83">
        <f t="shared" si="356"/>
        <v>2974.9489064147569</v>
      </c>
      <c r="AR183" s="83">
        <f t="shared" si="335"/>
        <v>2941.2057287449616</v>
      </c>
      <c r="AS183" s="83">
        <v>425.79</v>
      </c>
      <c r="AT183" s="83">
        <f t="shared" si="357"/>
        <v>282.00999999999993</v>
      </c>
      <c r="AU183" s="83">
        <v>0</v>
      </c>
      <c r="AV183" s="83">
        <f t="shared" si="358"/>
        <v>0</v>
      </c>
      <c r="AW183" s="83">
        <f t="shared" si="359"/>
        <v>3400.7389064147569</v>
      </c>
      <c r="AX183" s="83">
        <f t="shared" si="336"/>
        <v>3223.2157287449613</v>
      </c>
    </row>
    <row r="184" spans="1:50" x14ac:dyDescent="0.35">
      <c r="A184" s="91"/>
      <c r="B184" s="7" t="s">
        <v>139</v>
      </c>
      <c r="C184" s="78">
        <v>12.547245837466889</v>
      </c>
      <c r="D184" s="92">
        <v>12.547245837466889</v>
      </c>
      <c r="E184" s="78">
        <v>0</v>
      </c>
      <c r="F184" s="78">
        <f t="shared" si="337"/>
        <v>0</v>
      </c>
      <c r="G184" s="78">
        <v>0</v>
      </c>
      <c r="H184" s="78">
        <f t="shared" si="338"/>
        <v>0</v>
      </c>
      <c r="I184" s="78">
        <f t="shared" si="339"/>
        <v>12.547245837466889</v>
      </c>
      <c r="J184" s="78">
        <f t="shared" si="326"/>
        <v>12.547245837466889</v>
      </c>
      <c r="K184" s="79">
        <f t="shared" si="340"/>
        <v>12.547245837466889</v>
      </c>
      <c r="L184" s="79">
        <f t="shared" si="327"/>
        <v>12.547245837466889</v>
      </c>
      <c r="M184" s="79">
        <v>6.2927861759999999</v>
      </c>
      <c r="N184" s="79">
        <f t="shared" si="341"/>
        <v>6.2927861760000008</v>
      </c>
      <c r="O184" s="79">
        <v>0</v>
      </c>
      <c r="P184" s="79">
        <f t="shared" si="342"/>
        <v>0</v>
      </c>
      <c r="Q184" s="79">
        <f t="shared" si="343"/>
        <v>18.840032013466889</v>
      </c>
      <c r="R184" s="79">
        <f t="shared" si="328"/>
        <v>18.840032013466889</v>
      </c>
      <c r="S184" s="80">
        <f t="shared" si="344"/>
        <v>18.840032013466889</v>
      </c>
      <c r="T184" s="80">
        <f t="shared" si="329"/>
        <v>18.840032013466889</v>
      </c>
      <c r="U184" s="80">
        <v>0</v>
      </c>
      <c r="V184" s="80">
        <f t="shared" si="345"/>
        <v>0</v>
      </c>
      <c r="W184" s="80">
        <v>0</v>
      </c>
      <c r="X184" s="80">
        <f t="shared" si="346"/>
        <v>0</v>
      </c>
      <c r="Y184" s="80">
        <f t="shared" si="347"/>
        <v>18.840032013466889</v>
      </c>
      <c r="Z184" s="80">
        <f t="shared" si="330"/>
        <v>18.840032013466889</v>
      </c>
      <c r="AA184" s="81">
        <f t="shared" si="348"/>
        <v>18.840032013466889</v>
      </c>
      <c r="AB184" s="81">
        <f t="shared" si="331"/>
        <v>18.840032013466889</v>
      </c>
      <c r="AC184" s="81">
        <v>0</v>
      </c>
      <c r="AD184" s="81">
        <f t="shared" si="349"/>
        <v>0</v>
      </c>
      <c r="AE184" s="81">
        <v>0</v>
      </c>
      <c r="AF184" s="81">
        <f t="shared" si="350"/>
        <v>0</v>
      </c>
      <c r="AG184" s="81">
        <f t="shared" si="351"/>
        <v>18.840032013466889</v>
      </c>
      <c r="AH184" s="81">
        <f t="shared" si="332"/>
        <v>18.840032013466889</v>
      </c>
      <c r="AI184" s="82">
        <f t="shared" si="352"/>
        <v>18.840032013466889</v>
      </c>
      <c r="AJ184" s="82">
        <f t="shared" si="333"/>
        <v>18.840032013466889</v>
      </c>
      <c r="AK184" s="82">
        <v>0</v>
      </c>
      <c r="AL184" s="82">
        <f t="shared" si="353"/>
        <v>0</v>
      </c>
      <c r="AM184" s="82">
        <v>0</v>
      </c>
      <c r="AN184" s="82">
        <f t="shared" si="354"/>
        <v>0</v>
      </c>
      <c r="AO184" s="82">
        <f t="shared" si="355"/>
        <v>18.840032013466889</v>
      </c>
      <c r="AP184" s="82">
        <f t="shared" si="334"/>
        <v>18.840032013466889</v>
      </c>
      <c r="AQ184" s="83">
        <f t="shared" si="356"/>
        <v>18.840032013466889</v>
      </c>
      <c r="AR184" s="83">
        <f t="shared" si="335"/>
        <v>18.840032013466889</v>
      </c>
      <c r="AS184" s="83">
        <v>0</v>
      </c>
      <c r="AT184" s="83">
        <f t="shared" si="357"/>
        <v>0</v>
      </c>
      <c r="AU184" s="83">
        <v>0</v>
      </c>
      <c r="AV184" s="83">
        <f t="shared" si="358"/>
        <v>0</v>
      </c>
      <c r="AW184" s="83">
        <f t="shared" si="359"/>
        <v>18.840032013466889</v>
      </c>
      <c r="AX184" s="83">
        <f t="shared" si="336"/>
        <v>18.840032013466889</v>
      </c>
    </row>
    <row r="185" spans="1:50" x14ac:dyDescent="0.35">
      <c r="A185" s="91"/>
      <c r="B185" s="7" t="s">
        <v>140</v>
      </c>
      <c r="C185" s="78">
        <v>29.827529562641065</v>
      </c>
      <c r="D185" s="92">
        <v>29.827529562641065</v>
      </c>
      <c r="E185" s="78">
        <v>0</v>
      </c>
      <c r="F185" s="78">
        <f t="shared" si="337"/>
        <v>0</v>
      </c>
      <c r="G185" s="78">
        <v>0</v>
      </c>
      <c r="H185" s="78">
        <f t="shared" si="338"/>
        <v>0</v>
      </c>
      <c r="I185" s="78">
        <f t="shared" si="339"/>
        <v>29.827529562641065</v>
      </c>
      <c r="J185" s="78">
        <f t="shared" si="326"/>
        <v>29.827529562641065</v>
      </c>
      <c r="K185" s="79">
        <f t="shared" si="340"/>
        <v>29.827529562641065</v>
      </c>
      <c r="L185" s="79">
        <f t="shared" si="327"/>
        <v>29.827529562641065</v>
      </c>
      <c r="M185" s="79">
        <v>0</v>
      </c>
      <c r="N185" s="79">
        <f t="shared" si="341"/>
        <v>0</v>
      </c>
      <c r="O185" s="79">
        <v>0</v>
      </c>
      <c r="P185" s="79">
        <f t="shared" si="342"/>
        <v>0</v>
      </c>
      <c r="Q185" s="79">
        <f t="shared" si="343"/>
        <v>29.827529562641065</v>
      </c>
      <c r="R185" s="79">
        <f t="shared" si="328"/>
        <v>29.827529562641065</v>
      </c>
      <c r="S185" s="80">
        <f t="shared" si="344"/>
        <v>29.827529562641065</v>
      </c>
      <c r="T185" s="80">
        <f t="shared" si="329"/>
        <v>29.827529562641065</v>
      </c>
      <c r="U185" s="80">
        <v>0</v>
      </c>
      <c r="V185" s="80">
        <f t="shared" si="345"/>
        <v>0</v>
      </c>
      <c r="W185" s="80">
        <v>0</v>
      </c>
      <c r="X185" s="80">
        <f t="shared" si="346"/>
        <v>0</v>
      </c>
      <c r="Y185" s="80">
        <f t="shared" si="347"/>
        <v>29.827529562641065</v>
      </c>
      <c r="Z185" s="80">
        <f t="shared" si="330"/>
        <v>29.827529562641065</v>
      </c>
      <c r="AA185" s="81">
        <f t="shared" si="348"/>
        <v>29.827529562641065</v>
      </c>
      <c r="AB185" s="81">
        <f t="shared" si="331"/>
        <v>29.827529562641065</v>
      </c>
      <c r="AC185" s="81">
        <v>0</v>
      </c>
      <c r="AD185" s="81">
        <f t="shared" si="349"/>
        <v>0</v>
      </c>
      <c r="AE185" s="81">
        <v>0</v>
      </c>
      <c r="AF185" s="81">
        <f t="shared" si="350"/>
        <v>0</v>
      </c>
      <c r="AG185" s="81">
        <f t="shared" si="351"/>
        <v>29.827529562641065</v>
      </c>
      <c r="AH185" s="81">
        <f t="shared" si="332"/>
        <v>29.827529562641065</v>
      </c>
      <c r="AI185" s="82">
        <f t="shared" si="352"/>
        <v>29.827529562641065</v>
      </c>
      <c r="AJ185" s="82">
        <f t="shared" si="333"/>
        <v>29.827529562641065</v>
      </c>
      <c r="AK185" s="82">
        <v>0</v>
      </c>
      <c r="AL185" s="82">
        <f t="shared" si="353"/>
        <v>0</v>
      </c>
      <c r="AM185" s="82">
        <v>0</v>
      </c>
      <c r="AN185" s="82">
        <f t="shared" si="354"/>
        <v>0</v>
      </c>
      <c r="AO185" s="82">
        <f t="shared" si="355"/>
        <v>29.827529562641065</v>
      </c>
      <c r="AP185" s="82">
        <f t="shared" si="334"/>
        <v>29.827529562641065</v>
      </c>
      <c r="AQ185" s="83">
        <f t="shared" si="356"/>
        <v>29.827529562641065</v>
      </c>
      <c r="AR185" s="83">
        <f t="shared" si="335"/>
        <v>29.827529562641065</v>
      </c>
      <c r="AS185" s="83">
        <v>0</v>
      </c>
      <c r="AT185" s="83">
        <f t="shared" si="357"/>
        <v>0</v>
      </c>
      <c r="AU185" s="83">
        <v>0</v>
      </c>
      <c r="AV185" s="83">
        <f t="shared" si="358"/>
        <v>0</v>
      </c>
      <c r="AW185" s="83">
        <f t="shared" si="359"/>
        <v>29.827529562641065</v>
      </c>
      <c r="AX185" s="83">
        <f t="shared" si="336"/>
        <v>29.827529562641065</v>
      </c>
    </row>
    <row r="186" spans="1:50" x14ac:dyDescent="0.35">
      <c r="A186" s="91"/>
      <c r="B186" s="7" t="s">
        <v>141</v>
      </c>
      <c r="C186" s="78">
        <v>76.060150116400024</v>
      </c>
      <c r="D186" s="92">
        <v>76.060150116400024</v>
      </c>
      <c r="E186" s="78">
        <v>0</v>
      </c>
      <c r="F186" s="78">
        <f t="shared" si="337"/>
        <v>0</v>
      </c>
      <c r="G186" s="78">
        <v>0</v>
      </c>
      <c r="H186" s="78">
        <f t="shared" si="338"/>
        <v>0</v>
      </c>
      <c r="I186" s="78">
        <f t="shared" si="339"/>
        <v>76.060150116400024</v>
      </c>
      <c r="J186" s="78">
        <f t="shared" si="326"/>
        <v>76.060150116400024</v>
      </c>
      <c r="K186" s="79">
        <f t="shared" si="340"/>
        <v>76.060150116400024</v>
      </c>
      <c r="L186" s="79">
        <f t="shared" si="327"/>
        <v>76.060150116400024</v>
      </c>
      <c r="M186" s="79">
        <v>0</v>
      </c>
      <c r="N186" s="79">
        <f t="shared" si="341"/>
        <v>0</v>
      </c>
      <c r="O186" s="79">
        <v>0</v>
      </c>
      <c r="P186" s="79">
        <f t="shared" si="342"/>
        <v>0</v>
      </c>
      <c r="Q186" s="79">
        <f t="shared" si="343"/>
        <v>76.060150116400024</v>
      </c>
      <c r="R186" s="79">
        <f t="shared" si="328"/>
        <v>76.060150116400024</v>
      </c>
      <c r="S186" s="80">
        <f t="shared" si="344"/>
        <v>76.060150116400024</v>
      </c>
      <c r="T186" s="80">
        <f t="shared" si="329"/>
        <v>76.060150116400024</v>
      </c>
      <c r="U186" s="80">
        <v>0</v>
      </c>
      <c r="V186" s="80">
        <f t="shared" si="345"/>
        <v>0</v>
      </c>
      <c r="W186" s="80">
        <v>0</v>
      </c>
      <c r="X186" s="80">
        <f t="shared" si="346"/>
        <v>0</v>
      </c>
      <c r="Y186" s="80">
        <f t="shared" si="347"/>
        <v>76.060150116400024</v>
      </c>
      <c r="Z186" s="80">
        <f t="shared" si="330"/>
        <v>76.060150116400024</v>
      </c>
      <c r="AA186" s="81">
        <f t="shared" si="348"/>
        <v>76.060150116400024</v>
      </c>
      <c r="AB186" s="81">
        <f t="shared" si="331"/>
        <v>76.060150116400024</v>
      </c>
      <c r="AC186" s="81">
        <v>0</v>
      </c>
      <c r="AD186" s="81">
        <f t="shared" si="349"/>
        <v>0</v>
      </c>
      <c r="AE186" s="81">
        <v>0</v>
      </c>
      <c r="AF186" s="81">
        <f t="shared" si="350"/>
        <v>0</v>
      </c>
      <c r="AG186" s="81">
        <f t="shared" si="351"/>
        <v>76.060150116400024</v>
      </c>
      <c r="AH186" s="81">
        <f t="shared" si="332"/>
        <v>76.060150116400024</v>
      </c>
      <c r="AI186" s="82">
        <f t="shared" si="352"/>
        <v>76.060150116400024</v>
      </c>
      <c r="AJ186" s="82">
        <f t="shared" si="333"/>
        <v>76.060150116400024</v>
      </c>
      <c r="AK186" s="82">
        <v>0</v>
      </c>
      <c r="AL186" s="82">
        <f t="shared" si="353"/>
        <v>0</v>
      </c>
      <c r="AM186" s="82">
        <v>0</v>
      </c>
      <c r="AN186" s="82">
        <f t="shared" si="354"/>
        <v>0</v>
      </c>
      <c r="AO186" s="82">
        <f t="shared" si="355"/>
        <v>76.060150116400024</v>
      </c>
      <c r="AP186" s="82">
        <f t="shared" si="334"/>
        <v>76.060150116400024</v>
      </c>
      <c r="AQ186" s="83">
        <f t="shared" si="356"/>
        <v>76.060150116400024</v>
      </c>
      <c r="AR186" s="83">
        <f t="shared" si="335"/>
        <v>76.060150116400024</v>
      </c>
      <c r="AS186" s="83">
        <v>0</v>
      </c>
      <c r="AT186" s="83">
        <f t="shared" si="357"/>
        <v>0</v>
      </c>
      <c r="AU186" s="83">
        <v>0</v>
      </c>
      <c r="AV186" s="83">
        <f t="shared" si="358"/>
        <v>0</v>
      </c>
      <c r="AW186" s="83">
        <f t="shared" si="359"/>
        <v>76.060150116400024</v>
      </c>
      <c r="AX186" s="83">
        <f t="shared" si="336"/>
        <v>76.060150116400024</v>
      </c>
    </row>
    <row r="187" spans="1:50" x14ac:dyDescent="0.35">
      <c r="A187" s="91"/>
      <c r="B187" s="7" t="s">
        <v>142</v>
      </c>
      <c r="C187" s="78">
        <v>5.0025135112005055</v>
      </c>
      <c r="D187" s="147">
        <f>0.798113711200506*0+C187</f>
        <v>5.0025135112005055</v>
      </c>
      <c r="E187" s="78">
        <v>0</v>
      </c>
      <c r="F187" s="78">
        <f t="shared" si="337"/>
        <v>0</v>
      </c>
      <c r="G187" s="78">
        <v>0</v>
      </c>
      <c r="H187" s="78">
        <f t="shared" si="338"/>
        <v>0</v>
      </c>
      <c r="I187" s="78">
        <f t="shared" si="339"/>
        <v>5.0025135112005055</v>
      </c>
      <c r="J187" s="78">
        <f t="shared" si="326"/>
        <v>5.0025135112005055</v>
      </c>
      <c r="K187" s="79">
        <f t="shared" si="340"/>
        <v>5.0025135112005055</v>
      </c>
      <c r="L187" s="79">
        <f t="shared" si="327"/>
        <v>5.0025135112005055</v>
      </c>
      <c r="M187" s="79">
        <v>0</v>
      </c>
      <c r="N187" s="79">
        <f t="shared" si="341"/>
        <v>0</v>
      </c>
      <c r="O187" s="79">
        <v>0</v>
      </c>
      <c r="P187" s="79">
        <f t="shared" si="342"/>
        <v>0</v>
      </c>
      <c r="Q187" s="79">
        <f t="shared" si="343"/>
        <v>5.0025135112005055</v>
      </c>
      <c r="R187" s="79">
        <f t="shared" si="328"/>
        <v>5.0025135112005055</v>
      </c>
      <c r="S187" s="80">
        <f t="shared" si="344"/>
        <v>5.0025135112005055</v>
      </c>
      <c r="T187" s="80">
        <f t="shared" si="329"/>
        <v>5.0025135112005055</v>
      </c>
      <c r="U187" s="80">
        <v>0</v>
      </c>
      <c r="V187" s="80">
        <f t="shared" si="345"/>
        <v>0</v>
      </c>
      <c r="W187" s="80">
        <v>0</v>
      </c>
      <c r="X187" s="80">
        <f t="shared" si="346"/>
        <v>0</v>
      </c>
      <c r="Y187" s="80">
        <f t="shared" si="347"/>
        <v>5.0025135112005055</v>
      </c>
      <c r="Z187" s="80">
        <f t="shared" si="330"/>
        <v>5.0025135112005055</v>
      </c>
      <c r="AA187" s="81">
        <f t="shared" si="348"/>
        <v>5.0025135112005055</v>
      </c>
      <c r="AB187" s="81">
        <f t="shared" si="331"/>
        <v>5.0025135112005055</v>
      </c>
      <c r="AC187" s="81">
        <v>0</v>
      </c>
      <c r="AD187" s="81">
        <f t="shared" si="349"/>
        <v>0</v>
      </c>
      <c r="AE187" s="81">
        <v>0</v>
      </c>
      <c r="AF187" s="81">
        <f t="shared" si="350"/>
        <v>0</v>
      </c>
      <c r="AG187" s="81">
        <f t="shared" si="351"/>
        <v>5.0025135112005055</v>
      </c>
      <c r="AH187" s="81">
        <f t="shared" si="332"/>
        <v>5.0025135112005055</v>
      </c>
      <c r="AI187" s="82">
        <f t="shared" si="352"/>
        <v>5.0025135112005055</v>
      </c>
      <c r="AJ187" s="82">
        <f t="shared" si="333"/>
        <v>5.0025135112005055</v>
      </c>
      <c r="AK187" s="82">
        <v>0</v>
      </c>
      <c r="AL187" s="82">
        <f t="shared" si="353"/>
        <v>0</v>
      </c>
      <c r="AM187" s="82">
        <v>0</v>
      </c>
      <c r="AN187" s="82">
        <f t="shared" si="354"/>
        <v>0</v>
      </c>
      <c r="AO187" s="82">
        <f t="shared" si="355"/>
        <v>5.0025135112005055</v>
      </c>
      <c r="AP187" s="82">
        <f t="shared" si="334"/>
        <v>5.0025135112005055</v>
      </c>
      <c r="AQ187" s="83">
        <f t="shared" si="356"/>
        <v>5.0025135112005055</v>
      </c>
      <c r="AR187" s="83">
        <f t="shared" si="335"/>
        <v>5.0025135112005055</v>
      </c>
      <c r="AS187" s="83">
        <v>0</v>
      </c>
      <c r="AT187" s="83">
        <f t="shared" si="357"/>
        <v>0</v>
      </c>
      <c r="AU187" s="83">
        <v>0</v>
      </c>
      <c r="AV187" s="83">
        <f t="shared" si="358"/>
        <v>0</v>
      </c>
      <c r="AW187" s="83">
        <f t="shared" si="359"/>
        <v>5.0025135112005055</v>
      </c>
      <c r="AX187" s="83">
        <f t="shared" si="336"/>
        <v>5.0025135112005055</v>
      </c>
    </row>
    <row r="188" spans="1:50" x14ac:dyDescent="0.35">
      <c r="A188" s="91"/>
      <c r="B188" s="7" t="s">
        <v>143</v>
      </c>
      <c r="C188" s="78">
        <v>1.0920845374255861</v>
      </c>
      <c r="D188" s="147">
        <f>1.04527623742559*0+C188</f>
        <v>1.0920845374255861</v>
      </c>
      <c r="E188" s="78">
        <v>0</v>
      </c>
      <c r="F188" s="78">
        <f t="shared" si="337"/>
        <v>0</v>
      </c>
      <c r="G188" s="78">
        <v>0</v>
      </c>
      <c r="H188" s="78">
        <f t="shared" si="338"/>
        <v>0</v>
      </c>
      <c r="I188" s="78">
        <f t="shared" si="339"/>
        <v>1.0920845374255861</v>
      </c>
      <c r="J188" s="78">
        <f t="shared" si="326"/>
        <v>1.0920845374255861</v>
      </c>
      <c r="K188" s="79">
        <f t="shared" si="340"/>
        <v>1.0920845374255861</v>
      </c>
      <c r="L188" s="79">
        <f t="shared" si="327"/>
        <v>1.0920845374255861</v>
      </c>
      <c r="M188" s="79">
        <v>0</v>
      </c>
      <c r="N188" s="79">
        <f t="shared" si="341"/>
        <v>0</v>
      </c>
      <c r="O188" s="79">
        <v>0</v>
      </c>
      <c r="P188" s="79">
        <f t="shared" si="342"/>
        <v>0</v>
      </c>
      <c r="Q188" s="79">
        <f t="shared" si="343"/>
        <v>1.0920845374255861</v>
      </c>
      <c r="R188" s="79">
        <f t="shared" si="328"/>
        <v>1.0920845374255861</v>
      </c>
      <c r="S188" s="80">
        <f t="shared" si="344"/>
        <v>1.0920845374255861</v>
      </c>
      <c r="T188" s="80">
        <f t="shared" si="329"/>
        <v>1.0920845374255861</v>
      </c>
      <c r="U188" s="80">
        <v>0</v>
      </c>
      <c r="V188" s="80">
        <f t="shared" si="345"/>
        <v>0</v>
      </c>
      <c r="W188" s="80">
        <v>0</v>
      </c>
      <c r="X188" s="80">
        <f t="shared" si="346"/>
        <v>0</v>
      </c>
      <c r="Y188" s="80">
        <f t="shared" si="347"/>
        <v>1.0920845374255861</v>
      </c>
      <c r="Z188" s="80">
        <f t="shared" si="330"/>
        <v>1.0920845374255861</v>
      </c>
      <c r="AA188" s="81">
        <f t="shared" si="348"/>
        <v>1.0920845374255861</v>
      </c>
      <c r="AB188" s="81">
        <f t="shared" si="331"/>
        <v>1.0920845374255861</v>
      </c>
      <c r="AC188" s="81">
        <v>0</v>
      </c>
      <c r="AD188" s="81">
        <f t="shared" si="349"/>
        <v>0</v>
      </c>
      <c r="AE188" s="81">
        <v>0</v>
      </c>
      <c r="AF188" s="81">
        <f t="shared" si="350"/>
        <v>0</v>
      </c>
      <c r="AG188" s="81">
        <f t="shared" si="351"/>
        <v>1.0920845374255861</v>
      </c>
      <c r="AH188" s="81">
        <f t="shared" si="332"/>
        <v>1.0920845374255861</v>
      </c>
      <c r="AI188" s="82">
        <f t="shared" si="352"/>
        <v>1.0920845374255861</v>
      </c>
      <c r="AJ188" s="82">
        <f t="shared" si="333"/>
        <v>1.0920845374255861</v>
      </c>
      <c r="AK188" s="82">
        <v>0</v>
      </c>
      <c r="AL188" s="82">
        <f t="shared" si="353"/>
        <v>0</v>
      </c>
      <c r="AM188" s="82">
        <v>0</v>
      </c>
      <c r="AN188" s="82">
        <f t="shared" si="354"/>
        <v>0</v>
      </c>
      <c r="AO188" s="82">
        <f t="shared" si="355"/>
        <v>1.0920845374255861</v>
      </c>
      <c r="AP188" s="82">
        <f t="shared" si="334"/>
        <v>1.0920845374255861</v>
      </c>
      <c r="AQ188" s="83">
        <f t="shared" si="356"/>
        <v>1.0920845374255861</v>
      </c>
      <c r="AR188" s="83">
        <f t="shared" si="335"/>
        <v>1.0920845374255861</v>
      </c>
      <c r="AS188" s="83">
        <v>0</v>
      </c>
      <c r="AT188" s="83">
        <f t="shared" si="357"/>
        <v>0</v>
      </c>
      <c r="AU188" s="83">
        <v>0</v>
      </c>
      <c r="AV188" s="83">
        <f t="shared" si="358"/>
        <v>0</v>
      </c>
      <c r="AW188" s="83">
        <f t="shared" si="359"/>
        <v>1.0920845374255861</v>
      </c>
      <c r="AX188" s="83">
        <f t="shared" si="336"/>
        <v>1.0920845374255861</v>
      </c>
    </row>
    <row r="189" spans="1:50" x14ac:dyDescent="0.35">
      <c r="A189" s="91"/>
      <c r="B189" s="7" t="s">
        <v>144</v>
      </c>
      <c r="C189" s="78">
        <v>0.71751804388029228</v>
      </c>
      <c r="D189" s="147">
        <f>0.712454043880292*0+C189</f>
        <v>0.71751804388029228</v>
      </c>
      <c r="E189" s="78">
        <v>0</v>
      </c>
      <c r="F189" s="78">
        <f t="shared" si="337"/>
        <v>0</v>
      </c>
      <c r="G189" s="78">
        <v>0</v>
      </c>
      <c r="H189" s="78">
        <f t="shared" si="338"/>
        <v>0</v>
      </c>
      <c r="I189" s="78">
        <f t="shared" si="339"/>
        <v>0.71751804388029228</v>
      </c>
      <c r="J189" s="78">
        <f t="shared" si="326"/>
        <v>0.71751804388029228</v>
      </c>
      <c r="K189" s="79">
        <f t="shared" si="340"/>
        <v>0.71751804388029228</v>
      </c>
      <c r="L189" s="79">
        <f t="shared" si="327"/>
        <v>0.71751804388029228</v>
      </c>
      <c r="M189" s="79">
        <v>0</v>
      </c>
      <c r="N189" s="79">
        <f t="shared" si="341"/>
        <v>0</v>
      </c>
      <c r="O189" s="79">
        <v>0</v>
      </c>
      <c r="P189" s="79">
        <f t="shared" si="342"/>
        <v>0</v>
      </c>
      <c r="Q189" s="79">
        <f t="shared" si="343"/>
        <v>0.71751804388029228</v>
      </c>
      <c r="R189" s="79">
        <f t="shared" si="328"/>
        <v>0.71751804388029228</v>
      </c>
      <c r="S189" s="80">
        <f t="shared" si="344"/>
        <v>0.71751804388029228</v>
      </c>
      <c r="T189" s="80">
        <f t="shared" si="329"/>
        <v>0.71751804388029228</v>
      </c>
      <c r="U189" s="80">
        <v>0</v>
      </c>
      <c r="V189" s="80">
        <f t="shared" si="345"/>
        <v>0</v>
      </c>
      <c r="W189" s="80">
        <v>0</v>
      </c>
      <c r="X189" s="80">
        <f t="shared" si="346"/>
        <v>0</v>
      </c>
      <c r="Y189" s="80">
        <f t="shared" si="347"/>
        <v>0.71751804388029228</v>
      </c>
      <c r="Z189" s="80">
        <f t="shared" si="330"/>
        <v>0.71751804388029228</v>
      </c>
      <c r="AA189" s="81">
        <f t="shared" si="348"/>
        <v>0.71751804388029228</v>
      </c>
      <c r="AB189" s="81">
        <f t="shared" si="331"/>
        <v>0.71751804388029228</v>
      </c>
      <c r="AC189" s="81">
        <v>0</v>
      </c>
      <c r="AD189" s="81">
        <f t="shared" si="349"/>
        <v>0</v>
      </c>
      <c r="AE189" s="81">
        <v>0</v>
      </c>
      <c r="AF189" s="81">
        <f t="shared" si="350"/>
        <v>0</v>
      </c>
      <c r="AG189" s="81">
        <f t="shared" si="351"/>
        <v>0.71751804388029228</v>
      </c>
      <c r="AH189" s="81">
        <f t="shared" si="332"/>
        <v>0.71751804388029228</v>
      </c>
      <c r="AI189" s="82">
        <f t="shared" si="352"/>
        <v>0.71751804388029228</v>
      </c>
      <c r="AJ189" s="82">
        <f t="shared" si="333"/>
        <v>0.71751804388029228</v>
      </c>
      <c r="AK189" s="82">
        <v>0</v>
      </c>
      <c r="AL189" s="82">
        <f t="shared" si="353"/>
        <v>0</v>
      </c>
      <c r="AM189" s="82">
        <v>0</v>
      </c>
      <c r="AN189" s="82">
        <f t="shared" si="354"/>
        <v>0</v>
      </c>
      <c r="AO189" s="82">
        <f t="shared" si="355"/>
        <v>0.71751804388029228</v>
      </c>
      <c r="AP189" s="82">
        <f t="shared" si="334"/>
        <v>0.71751804388029228</v>
      </c>
      <c r="AQ189" s="83">
        <f t="shared" si="356"/>
        <v>0.71751804388029228</v>
      </c>
      <c r="AR189" s="83">
        <f t="shared" si="335"/>
        <v>0.71751804388029228</v>
      </c>
      <c r="AS189" s="83">
        <v>0</v>
      </c>
      <c r="AT189" s="83">
        <f t="shared" si="357"/>
        <v>0</v>
      </c>
      <c r="AU189" s="83">
        <v>0</v>
      </c>
      <c r="AV189" s="83">
        <f t="shared" si="358"/>
        <v>0</v>
      </c>
      <c r="AW189" s="83">
        <f t="shared" si="359"/>
        <v>0.71751804388029228</v>
      </c>
      <c r="AX189" s="83">
        <f t="shared" si="336"/>
        <v>0.71751804388029228</v>
      </c>
    </row>
    <row r="190" spans="1:50" x14ac:dyDescent="0.35">
      <c r="A190" s="91"/>
      <c r="B190" s="7" t="s">
        <v>145</v>
      </c>
      <c r="C190" s="78">
        <v>0</v>
      </c>
      <c r="D190" s="92">
        <v>0</v>
      </c>
      <c r="E190" s="78">
        <v>0</v>
      </c>
      <c r="F190" s="78">
        <f t="shared" si="337"/>
        <v>0</v>
      </c>
      <c r="G190" s="78">
        <v>0</v>
      </c>
      <c r="H190" s="78">
        <f t="shared" si="338"/>
        <v>0</v>
      </c>
      <c r="I190" s="78">
        <f t="shared" si="339"/>
        <v>0</v>
      </c>
      <c r="J190" s="78">
        <f t="shared" si="326"/>
        <v>0</v>
      </c>
      <c r="K190" s="79">
        <f t="shared" si="340"/>
        <v>0</v>
      </c>
      <c r="L190" s="79">
        <f t="shared" si="327"/>
        <v>0</v>
      </c>
      <c r="M190" s="79">
        <v>0</v>
      </c>
      <c r="N190" s="79">
        <f t="shared" si="341"/>
        <v>0</v>
      </c>
      <c r="O190" s="79">
        <v>0</v>
      </c>
      <c r="P190" s="79">
        <f t="shared" si="342"/>
        <v>0</v>
      </c>
      <c r="Q190" s="79">
        <f t="shared" si="343"/>
        <v>0</v>
      </c>
      <c r="R190" s="79">
        <f t="shared" si="328"/>
        <v>0</v>
      </c>
      <c r="S190" s="80">
        <f t="shared" si="344"/>
        <v>0</v>
      </c>
      <c r="T190" s="80">
        <f t="shared" si="329"/>
        <v>0</v>
      </c>
      <c r="U190" s="80">
        <v>0</v>
      </c>
      <c r="V190" s="80">
        <f t="shared" si="345"/>
        <v>0</v>
      </c>
      <c r="W190" s="80">
        <v>0</v>
      </c>
      <c r="X190" s="80">
        <f t="shared" si="346"/>
        <v>0</v>
      </c>
      <c r="Y190" s="80">
        <f t="shared" si="347"/>
        <v>0</v>
      </c>
      <c r="Z190" s="80">
        <f t="shared" si="330"/>
        <v>0</v>
      </c>
      <c r="AA190" s="81">
        <f t="shared" si="348"/>
        <v>0</v>
      </c>
      <c r="AB190" s="81">
        <f t="shared" si="331"/>
        <v>0</v>
      </c>
      <c r="AC190" s="81">
        <v>0</v>
      </c>
      <c r="AD190" s="81">
        <f t="shared" si="349"/>
        <v>0</v>
      </c>
      <c r="AE190" s="81">
        <v>0</v>
      </c>
      <c r="AF190" s="81">
        <f t="shared" si="350"/>
        <v>0</v>
      </c>
      <c r="AG190" s="81">
        <f t="shared" si="351"/>
        <v>0</v>
      </c>
      <c r="AH190" s="81">
        <f t="shared" si="332"/>
        <v>0</v>
      </c>
      <c r="AI190" s="82">
        <f t="shared" si="352"/>
        <v>0</v>
      </c>
      <c r="AJ190" s="82">
        <f t="shared" si="333"/>
        <v>0</v>
      </c>
      <c r="AK190" s="82">
        <v>0</v>
      </c>
      <c r="AL190" s="82">
        <f t="shared" si="353"/>
        <v>0</v>
      </c>
      <c r="AM190" s="82">
        <v>0</v>
      </c>
      <c r="AN190" s="82">
        <f t="shared" si="354"/>
        <v>0</v>
      </c>
      <c r="AO190" s="82">
        <f t="shared" si="355"/>
        <v>0</v>
      </c>
      <c r="AP190" s="82">
        <f t="shared" si="334"/>
        <v>0</v>
      </c>
      <c r="AQ190" s="83">
        <f t="shared" si="356"/>
        <v>0</v>
      </c>
      <c r="AR190" s="83">
        <f t="shared" si="335"/>
        <v>0</v>
      </c>
      <c r="AS190" s="83">
        <v>0</v>
      </c>
      <c r="AT190" s="83">
        <f t="shared" si="357"/>
        <v>0</v>
      </c>
      <c r="AU190" s="83">
        <v>0</v>
      </c>
      <c r="AV190" s="83">
        <f t="shared" si="358"/>
        <v>0</v>
      </c>
      <c r="AW190" s="83">
        <f t="shared" si="359"/>
        <v>0</v>
      </c>
      <c r="AX190" s="83">
        <f t="shared" si="336"/>
        <v>0</v>
      </c>
    </row>
    <row r="191" spans="1:50" x14ac:dyDescent="0.35">
      <c r="A191" s="91"/>
      <c r="B191" s="7" t="s">
        <v>146</v>
      </c>
      <c r="C191" s="78">
        <v>0</v>
      </c>
      <c r="D191" s="92">
        <v>0</v>
      </c>
      <c r="E191" s="78">
        <v>0</v>
      </c>
      <c r="F191" s="78">
        <f t="shared" si="337"/>
        <v>0</v>
      </c>
      <c r="G191" s="78">
        <v>0</v>
      </c>
      <c r="H191" s="78">
        <f t="shared" si="338"/>
        <v>0</v>
      </c>
      <c r="I191" s="78">
        <f t="shared" si="339"/>
        <v>0</v>
      </c>
      <c r="J191" s="78">
        <f t="shared" si="326"/>
        <v>0</v>
      </c>
      <c r="K191" s="79">
        <f t="shared" si="340"/>
        <v>0</v>
      </c>
      <c r="L191" s="79">
        <f t="shared" si="327"/>
        <v>0</v>
      </c>
      <c r="M191" s="79">
        <v>0</v>
      </c>
      <c r="N191" s="79">
        <f t="shared" si="341"/>
        <v>0</v>
      </c>
      <c r="O191" s="79">
        <v>0</v>
      </c>
      <c r="P191" s="79">
        <f t="shared" si="342"/>
        <v>0</v>
      </c>
      <c r="Q191" s="79">
        <f t="shared" si="343"/>
        <v>0</v>
      </c>
      <c r="R191" s="79">
        <f t="shared" si="328"/>
        <v>0</v>
      </c>
      <c r="S191" s="80">
        <f t="shared" si="344"/>
        <v>0</v>
      </c>
      <c r="T191" s="80">
        <f t="shared" si="329"/>
        <v>0</v>
      </c>
      <c r="U191" s="80">
        <v>0</v>
      </c>
      <c r="V191" s="80">
        <f t="shared" si="345"/>
        <v>0</v>
      </c>
      <c r="W191" s="80">
        <v>0</v>
      </c>
      <c r="X191" s="80">
        <f t="shared" si="346"/>
        <v>0</v>
      </c>
      <c r="Y191" s="80">
        <f t="shared" si="347"/>
        <v>0</v>
      </c>
      <c r="Z191" s="80">
        <f t="shared" si="330"/>
        <v>0</v>
      </c>
      <c r="AA191" s="81">
        <f t="shared" si="348"/>
        <v>0</v>
      </c>
      <c r="AB191" s="81">
        <f t="shared" si="331"/>
        <v>0</v>
      </c>
      <c r="AC191" s="81">
        <v>0</v>
      </c>
      <c r="AD191" s="81">
        <f t="shared" si="349"/>
        <v>0</v>
      </c>
      <c r="AE191" s="81">
        <v>0</v>
      </c>
      <c r="AF191" s="81">
        <f t="shared" si="350"/>
        <v>0</v>
      </c>
      <c r="AG191" s="81">
        <f t="shared" si="351"/>
        <v>0</v>
      </c>
      <c r="AH191" s="81">
        <f t="shared" si="332"/>
        <v>0</v>
      </c>
      <c r="AI191" s="82">
        <f t="shared" si="352"/>
        <v>0</v>
      </c>
      <c r="AJ191" s="82">
        <f t="shared" si="333"/>
        <v>0</v>
      </c>
      <c r="AK191" s="82">
        <v>0</v>
      </c>
      <c r="AL191" s="82">
        <f t="shared" si="353"/>
        <v>0</v>
      </c>
      <c r="AM191" s="82">
        <v>0</v>
      </c>
      <c r="AN191" s="82">
        <f t="shared" si="354"/>
        <v>0</v>
      </c>
      <c r="AO191" s="82">
        <f t="shared" si="355"/>
        <v>0</v>
      </c>
      <c r="AP191" s="82">
        <f t="shared" si="334"/>
        <v>0</v>
      </c>
      <c r="AQ191" s="83">
        <f t="shared" si="356"/>
        <v>0</v>
      </c>
      <c r="AR191" s="83">
        <f t="shared" si="335"/>
        <v>0</v>
      </c>
      <c r="AS191" s="83">
        <v>0</v>
      </c>
      <c r="AT191" s="83">
        <f t="shared" si="357"/>
        <v>0</v>
      </c>
      <c r="AU191" s="83">
        <v>0</v>
      </c>
      <c r="AV191" s="83">
        <f t="shared" si="358"/>
        <v>0</v>
      </c>
      <c r="AW191" s="83">
        <f t="shared" si="359"/>
        <v>0</v>
      </c>
      <c r="AX191" s="83">
        <f t="shared" si="336"/>
        <v>0</v>
      </c>
    </row>
    <row r="192" spans="1:50" x14ac:dyDescent="0.35">
      <c r="A192" s="91"/>
      <c r="B192" s="7" t="s">
        <v>147</v>
      </c>
      <c r="C192" s="78">
        <v>0</v>
      </c>
      <c r="D192" s="92">
        <v>0</v>
      </c>
      <c r="E192" s="78">
        <v>0</v>
      </c>
      <c r="F192" s="78">
        <f t="shared" si="337"/>
        <v>0</v>
      </c>
      <c r="G192" s="78">
        <v>0</v>
      </c>
      <c r="H192" s="78">
        <f t="shared" si="338"/>
        <v>0</v>
      </c>
      <c r="I192" s="78">
        <f t="shared" si="339"/>
        <v>0</v>
      </c>
      <c r="J192" s="78">
        <f t="shared" si="326"/>
        <v>0</v>
      </c>
      <c r="K192" s="79">
        <f t="shared" si="340"/>
        <v>0</v>
      </c>
      <c r="L192" s="79">
        <f t="shared" si="327"/>
        <v>0</v>
      </c>
      <c r="M192" s="79">
        <v>0</v>
      </c>
      <c r="N192" s="79">
        <f t="shared" si="341"/>
        <v>0</v>
      </c>
      <c r="O192" s="79">
        <v>0</v>
      </c>
      <c r="P192" s="79">
        <f t="shared" si="342"/>
        <v>0</v>
      </c>
      <c r="Q192" s="79">
        <f t="shared" si="343"/>
        <v>0</v>
      </c>
      <c r="R192" s="79">
        <f t="shared" si="328"/>
        <v>0</v>
      </c>
      <c r="S192" s="80">
        <f t="shared" si="344"/>
        <v>0</v>
      </c>
      <c r="T192" s="80">
        <f t="shared" si="329"/>
        <v>0</v>
      </c>
      <c r="U192" s="80">
        <v>0</v>
      </c>
      <c r="V192" s="80">
        <f t="shared" si="345"/>
        <v>0</v>
      </c>
      <c r="W192" s="80">
        <v>0</v>
      </c>
      <c r="X192" s="80">
        <f t="shared" si="346"/>
        <v>0</v>
      </c>
      <c r="Y192" s="80">
        <f t="shared" si="347"/>
        <v>0</v>
      </c>
      <c r="Z192" s="80">
        <f t="shared" si="330"/>
        <v>0</v>
      </c>
      <c r="AA192" s="81">
        <f t="shared" si="348"/>
        <v>0</v>
      </c>
      <c r="AB192" s="81">
        <f t="shared" si="331"/>
        <v>0</v>
      </c>
      <c r="AC192" s="81">
        <v>0</v>
      </c>
      <c r="AD192" s="81">
        <f t="shared" si="349"/>
        <v>0</v>
      </c>
      <c r="AE192" s="81">
        <v>0</v>
      </c>
      <c r="AF192" s="81">
        <f t="shared" si="350"/>
        <v>0</v>
      </c>
      <c r="AG192" s="81">
        <f t="shared" si="351"/>
        <v>0</v>
      </c>
      <c r="AH192" s="81">
        <f t="shared" si="332"/>
        <v>0</v>
      </c>
      <c r="AI192" s="82">
        <f t="shared" si="352"/>
        <v>0</v>
      </c>
      <c r="AJ192" s="82">
        <f t="shared" si="333"/>
        <v>0</v>
      </c>
      <c r="AK192" s="82">
        <v>0</v>
      </c>
      <c r="AL192" s="82">
        <f t="shared" si="353"/>
        <v>0</v>
      </c>
      <c r="AM192" s="82">
        <v>0</v>
      </c>
      <c r="AN192" s="82">
        <f t="shared" si="354"/>
        <v>0</v>
      </c>
      <c r="AO192" s="82">
        <f t="shared" si="355"/>
        <v>0</v>
      </c>
      <c r="AP192" s="82">
        <f t="shared" si="334"/>
        <v>0</v>
      </c>
      <c r="AQ192" s="83">
        <f t="shared" si="356"/>
        <v>0</v>
      </c>
      <c r="AR192" s="83">
        <f t="shared" si="335"/>
        <v>0</v>
      </c>
      <c r="AS192" s="83">
        <v>0</v>
      </c>
      <c r="AT192" s="83">
        <f t="shared" si="357"/>
        <v>0</v>
      </c>
      <c r="AU192" s="83">
        <v>0</v>
      </c>
      <c r="AV192" s="83">
        <f t="shared" si="358"/>
        <v>0</v>
      </c>
      <c r="AW192" s="83">
        <f t="shared" si="359"/>
        <v>0</v>
      </c>
      <c r="AX192" s="83">
        <f t="shared" si="336"/>
        <v>0</v>
      </c>
    </row>
    <row r="193" spans="1:50" x14ac:dyDescent="0.35">
      <c r="A193" s="91"/>
      <c r="B193" s="7" t="s">
        <v>148</v>
      </c>
      <c r="C193" s="78">
        <v>0</v>
      </c>
      <c r="D193" s="92">
        <v>0</v>
      </c>
      <c r="E193" s="78">
        <v>0</v>
      </c>
      <c r="F193" s="78">
        <f t="shared" si="337"/>
        <v>0</v>
      </c>
      <c r="G193" s="78">
        <v>0</v>
      </c>
      <c r="H193" s="78">
        <f t="shared" si="338"/>
        <v>0</v>
      </c>
      <c r="I193" s="78">
        <f t="shared" si="339"/>
        <v>0</v>
      </c>
      <c r="J193" s="78">
        <f t="shared" si="326"/>
        <v>0</v>
      </c>
      <c r="K193" s="79">
        <f t="shared" si="340"/>
        <v>0</v>
      </c>
      <c r="L193" s="79">
        <f t="shared" si="327"/>
        <v>0</v>
      </c>
      <c r="M193" s="79">
        <v>0</v>
      </c>
      <c r="N193" s="79">
        <f t="shared" si="341"/>
        <v>0</v>
      </c>
      <c r="O193" s="79">
        <v>0</v>
      </c>
      <c r="P193" s="79">
        <f t="shared" si="342"/>
        <v>0</v>
      </c>
      <c r="Q193" s="79">
        <f t="shared" si="343"/>
        <v>0</v>
      </c>
      <c r="R193" s="79">
        <f t="shared" si="328"/>
        <v>0</v>
      </c>
      <c r="S193" s="80">
        <f t="shared" si="344"/>
        <v>0</v>
      </c>
      <c r="T193" s="80">
        <f t="shared" si="329"/>
        <v>0</v>
      </c>
      <c r="U193" s="80">
        <v>0</v>
      </c>
      <c r="V193" s="80">
        <f t="shared" si="345"/>
        <v>0</v>
      </c>
      <c r="W193" s="80">
        <v>0</v>
      </c>
      <c r="X193" s="80">
        <f t="shared" si="346"/>
        <v>0</v>
      </c>
      <c r="Y193" s="80">
        <f t="shared" si="347"/>
        <v>0</v>
      </c>
      <c r="Z193" s="80">
        <f t="shared" si="330"/>
        <v>0</v>
      </c>
      <c r="AA193" s="81">
        <f t="shared" si="348"/>
        <v>0</v>
      </c>
      <c r="AB193" s="81">
        <f t="shared" si="331"/>
        <v>0</v>
      </c>
      <c r="AC193" s="81">
        <v>0</v>
      </c>
      <c r="AD193" s="81">
        <f t="shared" si="349"/>
        <v>0</v>
      </c>
      <c r="AE193" s="81">
        <v>0</v>
      </c>
      <c r="AF193" s="81">
        <f t="shared" si="350"/>
        <v>0</v>
      </c>
      <c r="AG193" s="81">
        <f t="shared" si="351"/>
        <v>0</v>
      </c>
      <c r="AH193" s="81">
        <f t="shared" si="332"/>
        <v>0</v>
      </c>
      <c r="AI193" s="82">
        <f t="shared" si="352"/>
        <v>0</v>
      </c>
      <c r="AJ193" s="82">
        <f t="shared" si="333"/>
        <v>0</v>
      </c>
      <c r="AK193" s="82">
        <v>0</v>
      </c>
      <c r="AL193" s="82">
        <f t="shared" si="353"/>
        <v>0</v>
      </c>
      <c r="AM193" s="82">
        <v>0</v>
      </c>
      <c r="AN193" s="82">
        <f t="shared" si="354"/>
        <v>0</v>
      </c>
      <c r="AO193" s="82">
        <f t="shared" si="355"/>
        <v>0</v>
      </c>
      <c r="AP193" s="82">
        <f t="shared" si="334"/>
        <v>0</v>
      </c>
      <c r="AQ193" s="83">
        <f t="shared" si="356"/>
        <v>0</v>
      </c>
      <c r="AR193" s="83">
        <f t="shared" si="335"/>
        <v>0</v>
      </c>
      <c r="AS193" s="83">
        <v>0</v>
      </c>
      <c r="AT193" s="83">
        <f t="shared" si="357"/>
        <v>0</v>
      </c>
      <c r="AU193" s="83">
        <v>0</v>
      </c>
      <c r="AV193" s="83">
        <f t="shared" si="358"/>
        <v>0</v>
      </c>
      <c r="AW193" s="83">
        <f t="shared" si="359"/>
        <v>0</v>
      </c>
      <c r="AX193" s="83">
        <f t="shared" si="336"/>
        <v>0</v>
      </c>
    </row>
    <row r="194" spans="1:50" ht="31" x14ac:dyDescent="0.35">
      <c r="A194" s="91"/>
      <c r="B194" s="84" t="s">
        <v>149</v>
      </c>
      <c r="C194" s="78">
        <v>0</v>
      </c>
      <c r="D194" s="92">
        <v>0</v>
      </c>
      <c r="E194" s="78">
        <v>0</v>
      </c>
      <c r="F194" s="78">
        <f t="shared" si="337"/>
        <v>0</v>
      </c>
      <c r="G194" s="78">
        <v>0</v>
      </c>
      <c r="H194" s="78">
        <f t="shared" si="338"/>
        <v>0</v>
      </c>
      <c r="I194" s="78">
        <f t="shared" si="339"/>
        <v>0</v>
      </c>
      <c r="J194" s="78">
        <f t="shared" si="326"/>
        <v>0</v>
      </c>
      <c r="K194" s="79">
        <f t="shared" si="340"/>
        <v>0</v>
      </c>
      <c r="L194" s="79">
        <f t="shared" si="327"/>
        <v>0</v>
      </c>
      <c r="M194" s="79">
        <v>0</v>
      </c>
      <c r="N194" s="79">
        <f t="shared" si="341"/>
        <v>0</v>
      </c>
      <c r="O194" s="79">
        <v>0</v>
      </c>
      <c r="P194" s="79">
        <f t="shared" si="342"/>
        <v>0</v>
      </c>
      <c r="Q194" s="79">
        <f t="shared" si="343"/>
        <v>0</v>
      </c>
      <c r="R194" s="79">
        <f t="shared" si="328"/>
        <v>0</v>
      </c>
      <c r="S194" s="80">
        <f t="shared" si="344"/>
        <v>0</v>
      </c>
      <c r="T194" s="80">
        <f t="shared" si="329"/>
        <v>0</v>
      </c>
      <c r="U194" s="80">
        <v>0</v>
      </c>
      <c r="V194" s="80">
        <f t="shared" si="345"/>
        <v>0</v>
      </c>
      <c r="W194" s="80">
        <v>0</v>
      </c>
      <c r="X194" s="80">
        <f t="shared" si="346"/>
        <v>0</v>
      </c>
      <c r="Y194" s="80">
        <f t="shared" si="347"/>
        <v>0</v>
      </c>
      <c r="Z194" s="80">
        <f t="shared" si="330"/>
        <v>0</v>
      </c>
      <c r="AA194" s="81">
        <f t="shared" si="348"/>
        <v>0</v>
      </c>
      <c r="AB194" s="81">
        <f t="shared" si="331"/>
        <v>0</v>
      </c>
      <c r="AC194" s="81">
        <v>0</v>
      </c>
      <c r="AD194" s="81">
        <f t="shared" si="349"/>
        <v>0</v>
      </c>
      <c r="AE194" s="81">
        <v>0</v>
      </c>
      <c r="AF194" s="81">
        <f t="shared" si="350"/>
        <v>0</v>
      </c>
      <c r="AG194" s="81">
        <f t="shared" si="351"/>
        <v>0</v>
      </c>
      <c r="AH194" s="81">
        <f t="shared" si="332"/>
        <v>0</v>
      </c>
      <c r="AI194" s="82">
        <f t="shared" si="352"/>
        <v>0</v>
      </c>
      <c r="AJ194" s="82">
        <f t="shared" si="333"/>
        <v>0</v>
      </c>
      <c r="AK194" s="82">
        <v>0</v>
      </c>
      <c r="AL194" s="82">
        <f t="shared" si="353"/>
        <v>0</v>
      </c>
      <c r="AM194" s="82">
        <v>0</v>
      </c>
      <c r="AN194" s="82">
        <f t="shared" si="354"/>
        <v>0</v>
      </c>
      <c r="AO194" s="82">
        <f t="shared" si="355"/>
        <v>0</v>
      </c>
      <c r="AP194" s="82">
        <f t="shared" si="334"/>
        <v>0</v>
      </c>
      <c r="AQ194" s="83">
        <f t="shared" si="356"/>
        <v>0</v>
      </c>
      <c r="AR194" s="83">
        <f t="shared" si="335"/>
        <v>0</v>
      </c>
      <c r="AS194" s="83">
        <v>0</v>
      </c>
      <c r="AT194" s="83">
        <f t="shared" si="357"/>
        <v>0</v>
      </c>
      <c r="AU194" s="83">
        <v>0</v>
      </c>
      <c r="AV194" s="83">
        <f t="shared" si="358"/>
        <v>0</v>
      </c>
      <c r="AW194" s="83">
        <f t="shared" si="359"/>
        <v>0</v>
      </c>
      <c r="AX194" s="83">
        <f t="shared" si="336"/>
        <v>0</v>
      </c>
    </row>
    <row r="195" spans="1:50" x14ac:dyDescent="0.35">
      <c r="B195" s="12" t="s">
        <v>27</v>
      </c>
      <c r="C195" s="85">
        <f>SUM(C178:C194)</f>
        <v>3494.0543286334532</v>
      </c>
      <c r="D195" s="93">
        <f t="shared" ref="D195:E195" si="360">SUM(D178:D194)</f>
        <v>3533.7143286334531</v>
      </c>
      <c r="E195" s="85">
        <f t="shared" si="360"/>
        <v>5.5515166980000004</v>
      </c>
      <c r="F195" s="85">
        <v>5.55</v>
      </c>
      <c r="G195" s="85">
        <f t="shared" ref="G195:M195" si="361">SUM(G178:G194)</f>
        <v>0</v>
      </c>
      <c r="H195" s="85">
        <f t="shared" si="361"/>
        <v>0</v>
      </c>
      <c r="I195" s="85">
        <f t="shared" si="361"/>
        <v>3499.6058453314527</v>
      </c>
      <c r="J195" s="85">
        <f t="shared" si="361"/>
        <v>3539.2643286334533</v>
      </c>
      <c r="K195" s="86">
        <f t="shared" si="361"/>
        <v>3499.6058453314527</v>
      </c>
      <c r="L195" s="86">
        <f t="shared" si="361"/>
        <v>3539.2643286334533</v>
      </c>
      <c r="M195" s="86">
        <f t="shared" si="361"/>
        <v>23.133116613999999</v>
      </c>
      <c r="N195" s="86">
        <v>23.133116613999999</v>
      </c>
      <c r="O195" s="86">
        <f t="shared" ref="O195:U195" si="362">SUM(O178:O194)</f>
        <v>5.0626499999999997</v>
      </c>
      <c r="P195" s="86">
        <f t="shared" si="362"/>
        <v>5.0626499999999997</v>
      </c>
      <c r="Q195" s="86">
        <f t="shared" si="362"/>
        <v>3517.6763119454531</v>
      </c>
      <c r="R195" s="86">
        <f t="shared" si="362"/>
        <v>3557.3347952474533</v>
      </c>
      <c r="S195" s="87">
        <f t="shared" si="362"/>
        <v>3517.6763119454531</v>
      </c>
      <c r="T195" s="87">
        <f t="shared" si="362"/>
        <v>3557.3347952474533</v>
      </c>
      <c r="U195" s="87">
        <f t="shared" si="362"/>
        <v>75.511317338360598</v>
      </c>
      <c r="V195" s="87">
        <v>75.511317340360563</v>
      </c>
      <c r="W195" s="87">
        <f t="shared" ref="W195:AC195" si="363">SUM(W178:W194)</f>
        <v>4.9153776999999996</v>
      </c>
      <c r="X195" s="87">
        <f t="shared" si="363"/>
        <v>4.9153776999999996</v>
      </c>
      <c r="Y195" s="87">
        <f t="shared" si="363"/>
        <v>3588.2722515838136</v>
      </c>
      <c r="Z195" s="87">
        <f t="shared" si="363"/>
        <v>3627.9307348878137</v>
      </c>
      <c r="AA195" s="88">
        <f t="shared" si="363"/>
        <v>3588.2722515838136</v>
      </c>
      <c r="AB195" s="88">
        <f t="shared" si="363"/>
        <v>3627.9307348878137</v>
      </c>
      <c r="AC195" s="88">
        <f t="shared" si="363"/>
        <v>22.53</v>
      </c>
      <c r="AD195" s="88">
        <v>22.099999999999998</v>
      </c>
      <c r="AE195" s="88">
        <f t="shared" ref="AE195:AK195" si="364">SUM(AE178:AE194)</f>
        <v>0</v>
      </c>
      <c r="AF195" s="88">
        <f t="shared" si="364"/>
        <v>0</v>
      </c>
      <c r="AG195" s="88">
        <f t="shared" si="364"/>
        <v>3610.8022515838138</v>
      </c>
      <c r="AH195" s="88">
        <f t="shared" si="364"/>
        <v>3650.0307348878137</v>
      </c>
      <c r="AI195" s="89">
        <f t="shared" si="364"/>
        <v>3610.8022515838138</v>
      </c>
      <c r="AJ195" s="89">
        <f t="shared" si="364"/>
        <v>3650.0307348878137</v>
      </c>
      <c r="AK195" s="89">
        <f t="shared" si="364"/>
        <v>342.38</v>
      </c>
      <c r="AL195" s="89">
        <v>269.40760869565219</v>
      </c>
      <c r="AM195" s="89">
        <f t="shared" ref="AM195:AS195" si="365">SUM(AM178:AM194)</f>
        <v>0</v>
      </c>
      <c r="AN195" s="89">
        <f t="shared" si="365"/>
        <v>0</v>
      </c>
      <c r="AO195" s="89">
        <f t="shared" si="365"/>
        <v>3953.1822515838139</v>
      </c>
      <c r="AP195" s="89">
        <f t="shared" si="365"/>
        <v>3919.4383435834657</v>
      </c>
      <c r="AQ195" s="90">
        <f t="shared" si="365"/>
        <v>3953.1822515838139</v>
      </c>
      <c r="AR195" s="90">
        <f t="shared" si="365"/>
        <v>3919.4383435834657</v>
      </c>
      <c r="AS195" s="90">
        <f t="shared" si="365"/>
        <v>425.79</v>
      </c>
      <c r="AT195" s="90">
        <v>282.00999999999993</v>
      </c>
      <c r="AU195" s="90">
        <f t="shared" ref="AU195:AX195" si="366">SUM(AU178:AU194)</f>
        <v>0</v>
      </c>
      <c r="AV195" s="90">
        <f t="shared" si="366"/>
        <v>0</v>
      </c>
      <c r="AW195" s="90">
        <f t="shared" si="366"/>
        <v>4378.9722515838139</v>
      </c>
      <c r="AX195" s="90">
        <f t="shared" si="366"/>
        <v>4201.4483435834654</v>
      </c>
    </row>
    <row r="196" spans="1:50" s="77" customFormat="1" x14ac:dyDescent="0.35">
      <c r="A196" s="144"/>
      <c r="B196" s="70" t="s">
        <v>157</v>
      </c>
      <c r="C196" s="71"/>
      <c r="D196" s="71"/>
      <c r="E196" s="71"/>
      <c r="F196" s="71"/>
      <c r="G196" s="71"/>
      <c r="H196" s="71"/>
      <c r="I196" s="71"/>
      <c r="J196" s="71"/>
      <c r="K196" s="72"/>
      <c r="L196" s="72"/>
      <c r="M196" s="72"/>
      <c r="N196" s="72"/>
      <c r="O196" s="72"/>
      <c r="P196" s="72"/>
      <c r="Q196" s="72"/>
      <c r="R196" s="72"/>
      <c r="S196" s="73"/>
      <c r="T196" s="73"/>
      <c r="U196" s="73"/>
      <c r="V196" s="73"/>
      <c r="W196" s="73"/>
      <c r="X196" s="73"/>
      <c r="Y196" s="73"/>
      <c r="Z196" s="73"/>
      <c r="AA196" s="74"/>
      <c r="AB196" s="74"/>
      <c r="AC196" s="74"/>
      <c r="AD196" s="74"/>
      <c r="AE196" s="74"/>
      <c r="AF196" s="74"/>
      <c r="AG196" s="74"/>
      <c r="AH196" s="74"/>
      <c r="AI196" s="75"/>
      <c r="AJ196" s="75"/>
      <c r="AK196" s="75"/>
      <c r="AL196" s="75"/>
      <c r="AM196" s="75"/>
      <c r="AN196" s="75"/>
      <c r="AO196" s="75"/>
      <c r="AP196" s="75"/>
      <c r="AQ196" s="76"/>
      <c r="AR196" s="76"/>
      <c r="AS196" s="76"/>
      <c r="AT196" s="76"/>
      <c r="AU196" s="76"/>
      <c r="AV196" s="76"/>
      <c r="AW196" s="76"/>
      <c r="AX196" s="76"/>
    </row>
    <row r="197" spans="1:50" x14ac:dyDescent="0.35">
      <c r="B197" s="7" t="s">
        <v>133</v>
      </c>
      <c r="C197" s="78">
        <v>12.275101671790779</v>
      </c>
      <c r="D197" s="92">
        <v>12.275101671790779</v>
      </c>
      <c r="E197" s="78">
        <v>0</v>
      </c>
      <c r="F197" s="78">
        <f>IFERROR(E197/E$214*F$214,0)</f>
        <v>0</v>
      </c>
      <c r="G197" s="78">
        <v>0</v>
      </c>
      <c r="H197" s="78">
        <f>G197</f>
        <v>0</v>
      </c>
      <c r="I197" s="78">
        <f>C197+E197-G197</f>
        <v>12.275101671790779</v>
      </c>
      <c r="J197" s="78">
        <f t="shared" ref="J197:J213" si="367">D197+F197-H197</f>
        <v>12.275101671790779</v>
      </c>
      <c r="K197" s="79">
        <f>I197</f>
        <v>12.275101671790779</v>
      </c>
      <c r="L197" s="79">
        <f t="shared" ref="L197:L213" si="368">J197</f>
        <v>12.275101671790779</v>
      </c>
      <c r="M197" s="79">
        <v>0</v>
      </c>
      <c r="N197" s="79">
        <f>IFERROR(M197/M$214*N$214,0)</f>
        <v>0</v>
      </c>
      <c r="O197" s="79">
        <v>0</v>
      </c>
      <c r="P197" s="79">
        <f>O197</f>
        <v>0</v>
      </c>
      <c r="Q197" s="79">
        <f>K197+M197-O197</f>
        <v>12.275101671790779</v>
      </c>
      <c r="R197" s="79">
        <f t="shared" ref="R197:R213" si="369">L197+N197-P197</f>
        <v>12.275101671790779</v>
      </c>
      <c r="S197" s="80">
        <f>Q197</f>
        <v>12.275101671790779</v>
      </c>
      <c r="T197" s="80">
        <f t="shared" ref="T197:T213" si="370">R197</f>
        <v>12.275101671790779</v>
      </c>
      <c r="U197" s="80">
        <v>0</v>
      </c>
      <c r="V197" s="80">
        <f>IFERROR(U197/U$214*V$214,0)</f>
        <v>0</v>
      </c>
      <c r="W197" s="80">
        <v>0</v>
      </c>
      <c r="X197" s="80">
        <f>W197</f>
        <v>0</v>
      </c>
      <c r="Y197" s="80">
        <f>S197+U197-W197</f>
        <v>12.275101671790779</v>
      </c>
      <c r="Z197" s="80">
        <f t="shared" ref="Z197:Z213" si="371">T197+V197-X197</f>
        <v>12.275101671790779</v>
      </c>
      <c r="AA197" s="81">
        <f>Y197</f>
        <v>12.275101671790779</v>
      </c>
      <c r="AB197" s="81">
        <f t="shared" ref="AB197:AB213" si="372">Z197</f>
        <v>12.275101671790779</v>
      </c>
      <c r="AC197" s="81">
        <v>0</v>
      </c>
      <c r="AD197" s="81">
        <f>IFERROR(AC197/AC$214*AD$214,0)</f>
        <v>0</v>
      </c>
      <c r="AE197" s="81">
        <v>0</v>
      </c>
      <c r="AF197" s="81">
        <f>AE197</f>
        <v>0</v>
      </c>
      <c r="AG197" s="81">
        <f>AA197+AC197-AE197</f>
        <v>12.275101671790779</v>
      </c>
      <c r="AH197" s="81">
        <f t="shared" ref="AH197:AH213" si="373">AB197+AD197-AF197</f>
        <v>12.275101671790779</v>
      </c>
      <c r="AI197" s="82">
        <f>AG197</f>
        <v>12.275101671790779</v>
      </c>
      <c r="AJ197" s="82">
        <f t="shared" ref="AJ197:AJ213" si="374">AH197</f>
        <v>12.275101671790779</v>
      </c>
      <c r="AK197" s="82">
        <v>0</v>
      </c>
      <c r="AL197" s="82">
        <f>IFERROR(AK197/AK$214*AL$214,0)</f>
        <v>0</v>
      </c>
      <c r="AM197" s="82">
        <v>0</v>
      </c>
      <c r="AN197" s="82">
        <f>AM197</f>
        <v>0</v>
      </c>
      <c r="AO197" s="82">
        <f>AI197+AK197-AM197</f>
        <v>12.275101671790779</v>
      </c>
      <c r="AP197" s="82">
        <f t="shared" ref="AP197:AP213" si="375">AJ197+AL197-AN197</f>
        <v>12.275101671790779</v>
      </c>
      <c r="AQ197" s="83">
        <f>AO197</f>
        <v>12.275101671790779</v>
      </c>
      <c r="AR197" s="83">
        <f t="shared" ref="AR197:AR213" si="376">AP197</f>
        <v>12.275101671790779</v>
      </c>
      <c r="AS197" s="83">
        <v>0</v>
      </c>
      <c r="AT197" s="83">
        <f>IFERROR(AS197/AS$214*AT$214,0)</f>
        <v>0</v>
      </c>
      <c r="AU197" s="83">
        <v>0</v>
      </c>
      <c r="AV197" s="83">
        <f>AU197</f>
        <v>0</v>
      </c>
      <c r="AW197" s="83">
        <f>AQ197+AS197-AU197</f>
        <v>12.275101671790779</v>
      </c>
      <c r="AX197" s="83">
        <f t="shared" ref="AX197:AX213" si="377">AR197+AT197-AV197</f>
        <v>12.275101671790779</v>
      </c>
    </row>
    <row r="198" spans="1:50" x14ac:dyDescent="0.35">
      <c r="B198" s="7" t="s">
        <v>134</v>
      </c>
      <c r="C198" s="78">
        <v>312.12807252537044</v>
      </c>
      <c r="D198" s="147">
        <f>311.12735586737*0+C198</f>
        <v>312.12807252537044</v>
      </c>
      <c r="E198" s="78">
        <v>7.7185068870000002</v>
      </c>
      <c r="F198" s="78">
        <f t="shared" ref="F198:F213" si="378">IFERROR(E198/E$214*F$214,0)</f>
        <v>7.7175015790623753</v>
      </c>
      <c r="G198" s="78">
        <v>0</v>
      </c>
      <c r="H198" s="78">
        <f t="shared" ref="H198:H213" si="379">G198</f>
        <v>0</v>
      </c>
      <c r="I198" s="78">
        <f t="shared" ref="I198:I213" si="380">C198+E198-G198</f>
        <v>319.84657941237043</v>
      </c>
      <c r="J198" s="78">
        <f t="shared" si="367"/>
        <v>319.84557410443284</v>
      </c>
      <c r="K198" s="79">
        <f t="shared" ref="K198:K213" si="381">I198</f>
        <v>319.84657941237043</v>
      </c>
      <c r="L198" s="79">
        <f t="shared" si="368"/>
        <v>319.84557410443284</v>
      </c>
      <c r="M198" s="79">
        <v>0</v>
      </c>
      <c r="N198" s="79">
        <f t="shared" ref="N198:N213" si="382">IFERROR(M198/M$214*N$214,0)</f>
        <v>0</v>
      </c>
      <c r="O198" s="79">
        <v>0</v>
      </c>
      <c r="P198" s="79">
        <f t="shared" ref="P198:P213" si="383">O198</f>
        <v>0</v>
      </c>
      <c r="Q198" s="79">
        <f t="shared" ref="Q198:Q213" si="384">K198+M198-O198</f>
        <v>319.84657941237043</v>
      </c>
      <c r="R198" s="79">
        <f t="shared" si="369"/>
        <v>319.84557410443284</v>
      </c>
      <c r="S198" s="80">
        <f t="shared" ref="S198:S213" si="385">Q198</f>
        <v>319.84657941237043</v>
      </c>
      <c r="T198" s="80">
        <f t="shared" si="370"/>
        <v>319.84557410443284</v>
      </c>
      <c r="U198" s="80">
        <v>1.6376399460000002</v>
      </c>
      <c r="V198" s="80">
        <f t="shared" ref="V198:V213" si="386">IFERROR(U198/U$214*V$214,0)</f>
        <v>1.6375919517413677</v>
      </c>
      <c r="W198" s="80">
        <v>0</v>
      </c>
      <c r="X198" s="80">
        <f t="shared" ref="X198:X213" si="387">W198</f>
        <v>0</v>
      </c>
      <c r="Y198" s="80">
        <f t="shared" ref="Y198:Y213" si="388">S198+U198-W198</f>
        <v>321.48421935837041</v>
      </c>
      <c r="Z198" s="80">
        <f t="shared" si="371"/>
        <v>321.48316605617418</v>
      </c>
      <c r="AA198" s="81">
        <f t="shared" ref="AA198:AA213" si="389">Y198</f>
        <v>321.48421935837041</v>
      </c>
      <c r="AB198" s="81">
        <f t="shared" si="372"/>
        <v>321.48316605617418</v>
      </c>
      <c r="AC198" s="81">
        <v>0</v>
      </c>
      <c r="AD198" s="81">
        <f t="shared" ref="AD198:AD213" si="390">IFERROR(AC198/AC$214*AD$214,0)</f>
        <v>0</v>
      </c>
      <c r="AE198" s="81">
        <v>0</v>
      </c>
      <c r="AF198" s="81">
        <f t="shared" ref="AF198:AF213" si="391">AE198</f>
        <v>0</v>
      </c>
      <c r="AG198" s="81">
        <f t="shared" ref="AG198:AG213" si="392">AA198+AC198-AE198</f>
        <v>321.48421935837041</v>
      </c>
      <c r="AH198" s="81">
        <f t="shared" si="373"/>
        <v>321.48316605617418</v>
      </c>
      <c r="AI198" s="82">
        <f t="shared" ref="AI198:AI213" si="393">AG198</f>
        <v>321.48421935837041</v>
      </c>
      <c r="AJ198" s="82">
        <f t="shared" si="374"/>
        <v>321.48316605617418</v>
      </c>
      <c r="AK198" s="82">
        <v>0</v>
      </c>
      <c r="AL198" s="82">
        <f t="shared" ref="AL198:AL213" si="394">IFERROR(AK198/AK$214*AL$214,0)</f>
        <v>0</v>
      </c>
      <c r="AM198" s="82">
        <v>0</v>
      </c>
      <c r="AN198" s="82">
        <f t="shared" ref="AN198:AN213" si="395">AM198</f>
        <v>0</v>
      </c>
      <c r="AO198" s="82">
        <f t="shared" ref="AO198:AO213" si="396">AI198+AK198-AM198</f>
        <v>321.48421935837041</v>
      </c>
      <c r="AP198" s="82">
        <f t="shared" si="375"/>
        <v>321.48316605617418</v>
      </c>
      <c r="AQ198" s="83">
        <f t="shared" ref="AQ198:AQ213" si="397">AO198</f>
        <v>321.48421935837041</v>
      </c>
      <c r="AR198" s="83">
        <f t="shared" si="376"/>
        <v>321.48316605617418</v>
      </c>
      <c r="AS198" s="83">
        <v>0</v>
      </c>
      <c r="AT198" s="83">
        <f t="shared" ref="AT198:AT213" si="398">IFERROR(AS198/AS$214*AT$214,0)</f>
        <v>0</v>
      </c>
      <c r="AU198" s="83">
        <v>0</v>
      </c>
      <c r="AV198" s="83">
        <f t="shared" ref="AV198:AV213" si="399">AU198</f>
        <v>0</v>
      </c>
      <c r="AW198" s="83">
        <f t="shared" ref="AW198:AW213" si="400">AQ198+AS198-AU198</f>
        <v>321.48421935837041</v>
      </c>
      <c r="AX198" s="83">
        <f t="shared" si="377"/>
        <v>321.48316605617418</v>
      </c>
    </row>
    <row r="199" spans="1:50" ht="31" x14ac:dyDescent="0.35">
      <c r="B199" s="84" t="s">
        <v>135</v>
      </c>
      <c r="C199" s="78">
        <v>0</v>
      </c>
      <c r="D199" s="92">
        <v>0</v>
      </c>
      <c r="E199" s="78">
        <v>0</v>
      </c>
      <c r="F199" s="78">
        <f t="shared" si="378"/>
        <v>0</v>
      </c>
      <c r="G199" s="78">
        <v>0</v>
      </c>
      <c r="H199" s="78">
        <f t="shared" si="379"/>
        <v>0</v>
      </c>
      <c r="I199" s="78">
        <f t="shared" si="380"/>
        <v>0</v>
      </c>
      <c r="J199" s="78">
        <f t="shared" si="367"/>
        <v>0</v>
      </c>
      <c r="K199" s="79">
        <f t="shared" si="381"/>
        <v>0</v>
      </c>
      <c r="L199" s="79">
        <f t="shared" si="368"/>
        <v>0</v>
      </c>
      <c r="M199" s="79">
        <v>0</v>
      </c>
      <c r="N199" s="79">
        <f t="shared" si="382"/>
        <v>0</v>
      </c>
      <c r="O199" s="79">
        <v>0</v>
      </c>
      <c r="P199" s="79">
        <f t="shared" si="383"/>
        <v>0</v>
      </c>
      <c r="Q199" s="79">
        <f t="shared" si="384"/>
        <v>0</v>
      </c>
      <c r="R199" s="79">
        <f t="shared" si="369"/>
        <v>0</v>
      </c>
      <c r="S199" s="80">
        <f t="shared" si="385"/>
        <v>0</v>
      </c>
      <c r="T199" s="80">
        <f t="shared" si="370"/>
        <v>0</v>
      </c>
      <c r="U199" s="80">
        <v>0</v>
      </c>
      <c r="V199" s="80">
        <f t="shared" si="386"/>
        <v>0</v>
      </c>
      <c r="W199" s="80">
        <v>0</v>
      </c>
      <c r="X199" s="80">
        <f t="shared" si="387"/>
        <v>0</v>
      </c>
      <c r="Y199" s="80">
        <f t="shared" si="388"/>
        <v>0</v>
      </c>
      <c r="Z199" s="80">
        <f t="shared" si="371"/>
        <v>0</v>
      </c>
      <c r="AA199" s="81">
        <f t="shared" si="389"/>
        <v>0</v>
      </c>
      <c r="AB199" s="81">
        <f t="shared" si="372"/>
        <v>0</v>
      </c>
      <c r="AC199" s="81">
        <v>0</v>
      </c>
      <c r="AD199" s="81">
        <f t="shared" si="390"/>
        <v>0</v>
      </c>
      <c r="AE199" s="81">
        <v>0</v>
      </c>
      <c r="AF199" s="81">
        <f t="shared" si="391"/>
        <v>0</v>
      </c>
      <c r="AG199" s="81">
        <f t="shared" si="392"/>
        <v>0</v>
      </c>
      <c r="AH199" s="81">
        <f t="shared" si="373"/>
        <v>0</v>
      </c>
      <c r="AI199" s="82">
        <f t="shared" si="393"/>
        <v>0</v>
      </c>
      <c r="AJ199" s="82">
        <f t="shared" si="374"/>
        <v>0</v>
      </c>
      <c r="AK199" s="82">
        <v>0</v>
      </c>
      <c r="AL199" s="82">
        <f t="shared" si="394"/>
        <v>0</v>
      </c>
      <c r="AM199" s="82">
        <v>0</v>
      </c>
      <c r="AN199" s="82">
        <f t="shared" si="395"/>
        <v>0</v>
      </c>
      <c r="AO199" s="82">
        <f t="shared" si="396"/>
        <v>0</v>
      </c>
      <c r="AP199" s="82">
        <f t="shared" si="375"/>
        <v>0</v>
      </c>
      <c r="AQ199" s="83">
        <f t="shared" si="397"/>
        <v>0</v>
      </c>
      <c r="AR199" s="83">
        <f t="shared" si="376"/>
        <v>0</v>
      </c>
      <c r="AS199" s="83">
        <v>0</v>
      </c>
      <c r="AT199" s="83">
        <f t="shared" si="398"/>
        <v>0</v>
      </c>
      <c r="AU199" s="83">
        <v>0</v>
      </c>
      <c r="AV199" s="83">
        <f t="shared" si="399"/>
        <v>0</v>
      </c>
      <c r="AW199" s="83">
        <f t="shared" si="400"/>
        <v>0</v>
      </c>
      <c r="AX199" s="83">
        <f t="shared" si="377"/>
        <v>0</v>
      </c>
    </row>
    <row r="200" spans="1:50" x14ac:dyDescent="0.35">
      <c r="A200" s="91"/>
      <c r="B200" s="7" t="s">
        <v>136</v>
      </c>
      <c r="C200" s="78">
        <v>345.28897070654801</v>
      </c>
      <c r="D200" s="92">
        <v>345.28897070654801</v>
      </c>
      <c r="E200" s="78">
        <v>0</v>
      </c>
      <c r="F200" s="78">
        <f t="shared" si="378"/>
        <v>0</v>
      </c>
      <c r="G200" s="78">
        <v>0</v>
      </c>
      <c r="H200" s="78">
        <f t="shared" si="379"/>
        <v>0</v>
      </c>
      <c r="I200" s="78">
        <f t="shared" si="380"/>
        <v>345.28897070654801</v>
      </c>
      <c r="J200" s="78">
        <f t="shared" si="367"/>
        <v>345.28897070654801</v>
      </c>
      <c r="K200" s="79">
        <f t="shared" si="381"/>
        <v>345.28897070654801</v>
      </c>
      <c r="L200" s="79">
        <f t="shared" si="368"/>
        <v>345.28897070654801</v>
      </c>
      <c r="M200" s="79">
        <v>0</v>
      </c>
      <c r="N200" s="79">
        <f t="shared" si="382"/>
        <v>0</v>
      </c>
      <c r="O200" s="79">
        <v>0</v>
      </c>
      <c r="P200" s="79">
        <f t="shared" si="383"/>
        <v>0</v>
      </c>
      <c r="Q200" s="79">
        <f t="shared" si="384"/>
        <v>345.28897070654801</v>
      </c>
      <c r="R200" s="79">
        <f t="shared" si="369"/>
        <v>345.28897070654801</v>
      </c>
      <c r="S200" s="80">
        <f t="shared" si="385"/>
        <v>345.28897070654801</v>
      </c>
      <c r="T200" s="80">
        <f t="shared" si="370"/>
        <v>345.28897070654801</v>
      </c>
      <c r="U200" s="80">
        <v>0</v>
      </c>
      <c r="V200" s="80">
        <f t="shared" si="386"/>
        <v>0</v>
      </c>
      <c r="W200" s="80">
        <v>0</v>
      </c>
      <c r="X200" s="80">
        <f t="shared" si="387"/>
        <v>0</v>
      </c>
      <c r="Y200" s="80">
        <f t="shared" si="388"/>
        <v>345.28897070654801</v>
      </c>
      <c r="Z200" s="80">
        <f t="shared" si="371"/>
        <v>345.28897070654801</v>
      </c>
      <c r="AA200" s="81">
        <f t="shared" si="389"/>
        <v>345.28897070654801</v>
      </c>
      <c r="AB200" s="81">
        <f t="shared" si="372"/>
        <v>345.28897070654801</v>
      </c>
      <c r="AC200" s="81">
        <v>0</v>
      </c>
      <c r="AD200" s="81">
        <f t="shared" si="390"/>
        <v>0</v>
      </c>
      <c r="AE200" s="81">
        <v>0</v>
      </c>
      <c r="AF200" s="81">
        <f t="shared" si="391"/>
        <v>0</v>
      </c>
      <c r="AG200" s="81">
        <f t="shared" si="392"/>
        <v>345.28897070654801</v>
      </c>
      <c r="AH200" s="81">
        <f t="shared" si="373"/>
        <v>345.28897070654801</v>
      </c>
      <c r="AI200" s="82">
        <f t="shared" si="393"/>
        <v>345.28897070654801</v>
      </c>
      <c r="AJ200" s="82">
        <f t="shared" si="374"/>
        <v>345.28897070654801</v>
      </c>
      <c r="AK200" s="82">
        <v>0</v>
      </c>
      <c r="AL200" s="82">
        <f t="shared" si="394"/>
        <v>0</v>
      </c>
      <c r="AM200" s="82">
        <v>0</v>
      </c>
      <c r="AN200" s="82">
        <f t="shared" si="395"/>
        <v>0</v>
      </c>
      <c r="AO200" s="82">
        <f t="shared" si="396"/>
        <v>345.28897070654801</v>
      </c>
      <c r="AP200" s="82">
        <f t="shared" si="375"/>
        <v>345.28897070654801</v>
      </c>
      <c r="AQ200" s="83">
        <f t="shared" si="397"/>
        <v>345.28897070654801</v>
      </c>
      <c r="AR200" s="83">
        <f t="shared" si="376"/>
        <v>345.28897070654801</v>
      </c>
      <c r="AS200" s="83">
        <v>0</v>
      </c>
      <c r="AT200" s="83">
        <f t="shared" si="398"/>
        <v>0</v>
      </c>
      <c r="AU200" s="83">
        <v>0</v>
      </c>
      <c r="AV200" s="83">
        <f t="shared" si="399"/>
        <v>0</v>
      </c>
      <c r="AW200" s="83">
        <f t="shared" si="400"/>
        <v>345.28897070654801</v>
      </c>
      <c r="AX200" s="83">
        <f t="shared" si="377"/>
        <v>345.28897070654801</v>
      </c>
    </row>
    <row r="201" spans="1:50" x14ac:dyDescent="0.35">
      <c r="A201" s="91"/>
      <c r="B201" s="7" t="s">
        <v>137</v>
      </c>
      <c r="C201" s="78">
        <v>293.28061659321759</v>
      </c>
      <c r="D201" s="147">
        <f>290.857197264218*0+C201</f>
        <v>293.28061659321759</v>
      </c>
      <c r="E201" s="78">
        <v>72.324564594000009</v>
      </c>
      <c r="F201" s="78">
        <f t="shared" si="378"/>
        <v>72.315144577935229</v>
      </c>
      <c r="G201" s="78">
        <v>0</v>
      </c>
      <c r="H201" s="78">
        <f t="shared" si="379"/>
        <v>0</v>
      </c>
      <c r="I201" s="78">
        <f t="shared" si="380"/>
        <v>365.60518118721757</v>
      </c>
      <c r="J201" s="78">
        <f t="shared" si="367"/>
        <v>365.59576117115284</v>
      </c>
      <c r="K201" s="79">
        <f t="shared" si="381"/>
        <v>365.60518118721757</v>
      </c>
      <c r="L201" s="79">
        <f t="shared" si="368"/>
        <v>365.59576117115284</v>
      </c>
      <c r="M201" s="79">
        <v>0</v>
      </c>
      <c r="N201" s="79">
        <f t="shared" si="382"/>
        <v>0</v>
      </c>
      <c r="O201" s="79">
        <v>0</v>
      </c>
      <c r="P201" s="79">
        <f t="shared" si="383"/>
        <v>0</v>
      </c>
      <c r="Q201" s="79">
        <f t="shared" si="384"/>
        <v>365.60518118721757</v>
      </c>
      <c r="R201" s="79">
        <f t="shared" si="369"/>
        <v>365.59576117115284</v>
      </c>
      <c r="S201" s="80">
        <f t="shared" si="385"/>
        <v>365.60518118721757</v>
      </c>
      <c r="T201" s="80">
        <f t="shared" si="370"/>
        <v>365.59576117115284</v>
      </c>
      <c r="U201" s="80">
        <v>8.2997896579999999</v>
      </c>
      <c r="V201" s="80">
        <f t="shared" si="386"/>
        <v>8.2995464163445831</v>
      </c>
      <c r="W201" s="80">
        <v>0</v>
      </c>
      <c r="X201" s="80">
        <f t="shared" si="387"/>
        <v>0</v>
      </c>
      <c r="Y201" s="80">
        <f t="shared" si="388"/>
        <v>373.90497084521758</v>
      </c>
      <c r="Z201" s="80">
        <f t="shared" si="371"/>
        <v>373.89530758749743</v>
      </c>
      <c r="AA201" s="81">
        <f t="shared" si="389"/>
        <v>373.90497084521758</v>
      </c>
      <c r="AB201" s="81">
        <f t="shared" si="372"/>
        <v>373.89530758749743</v>
      </c>
      <c r="AC201" s="81">
        <v>0</v>
      </c>
      <c r="AD201" s="81">
        <f t="shared" si="390"/>
        <v>0</v>
      </c>
      <c r="AE201" s="81">
        <v>0</v>
      </c>
      <c r="AF201" s="81">
        <f t="shared" si="391"/>
        <v>0</v>
      </c>
      <c r="AG201" s="81">
        <f t="shared" si="392"/>
        <v>373.90497084521758</v>
      </c>
      <c r="AH201" s="81">
        <f t="shared" si="373"/>
        <v>373.89530758749743</v>
      </c>
      <c r="AI201" s="82">
        <f t="shared" si="393"/>
        <v>373.90497084521758</v>
      </c>
      <c r="AJ201" s="82">
        <f t="shared" si="374"/>
        <v>373.89530758749743</v>
      </c>
      <c r="AK201" s="82">
        <v>0</v>
      </c>
      <c r="AL201" s="82">
        <f t="shared" si="394"/>
        <v>0</v>
      </c>
      <c r="AM201" s="82">
        <v>0</v>
      </c>
      <c r="AN201" s="82">
        <f t="shared" si="395"/>
        <v>0</v>
      </c>
      <c r="AO201" s="82">
        <f t="shared" si="396"/>
        <v>373.90497084521758</v>
      </c>
      <c r="AP201" s="82">
        <f t="shared" si="375"/>
        <v>373.89530758749743</v>
      </c>
      <c r="AQ201" s="83">
        <f t="shared" si="397"/>
        <v>373.90497084521758</v>
      </c>
      <c r="AR201" s="83">
        <f t="shared" si="376"/>
        <v>373.89530758749743</v>
      </c>
      <c r="AS201" s="83">
        <v>0</v>
      </c>
      <c r="AT201" s="83">
        <f t="shared" si="398"/>
        <v>0</v>
      </c>
      <c r="AU201" s="83">
        <v>0</v>
      </c>
      <c r="AV201" s="83">
        <f t="shared" si="399"/>
        <v>0</v>
      </c>
      <c r="AW201" s="83">
        <f t="shared" si="400"/>
        <v>373.90497084521758</v>
      </c>
      <c r="AX201" s="83">
        <f t="shared" si="377"/>
        <v>373.89530758749743</v>
      </c>
    </row>
    <row r="202" spans="1:50" x14ac:dyDescent="0.35">
      <c r="A202" s="91"/>
      <c r="B202" s="7" t="s">
        <v>138</v>
      </c>
      <c r="C202" s="78">
        <v>5558.6593376680012</v>
      </c>
      <c r="D202" s="147">
        <f>5512.33457472928*0+5493.4+'BTPS_4-5 LD Impact'!D6</f>
        <v>5537.9</v>
      </c>
      <c r="E202" s="78">
        <v>44.169894960000001</v>
      </c>
      <c r="F202" s="78">
        <f t="shared" si="378"/>
        <v>44.164141989035869</v>
      </c>
      <c r="G202" s="78">
        <v>1.3431</v>
      </c>
      <c r="H202" s="78">
        <f t="shared" si="379"/>
        <v>1.3431</v>
      </c>
      <c r="I202" s="78">
        <f t="shared" si="380"/>
        <v>5601.4861326280015</v>
      </c>
      <c r="J202" s="78">
        <f t="shared" si="367"/>
        <v>5580.7210419890353</v>
      </c>
      <c r="K202" s="79">
        <f t="shared" si="381"/>
        <v>5601.4861326280015</v>
      </c>
      <c r="L202" s="79">
        <f t="shared" si="368"/>
        <v>5580.7210419890353</v>
      </c>
      <c r="M202" s="79">
        <v>1.8810049520000001</v>
      </c>
      <c r="N202" s="79">
        <f t="shared" si="382"/>
        <v>1.8768440367499972</v>
      </c>
      <c r="O202" s="79">
        <v>0</v>
      </c>
      <c r="P202" s="79">
        <f t="shared" si="383"/>
        <v>0</v>
      </c>
      <c r="Q202" s="79">
        <f t="shared" si="384"/>
        <v>5603.3671375800013</v>
      </c>
      <c r="R202" s="79">
        <f t="shared" si="369"/>
        <v>5582.5978860257856</v>
      </c>
      <c r="S202" s="80">
        <f t="shared" si="385"/>
        <v>5603.3671375800013</v>
      </c>
      <c r="T202" s="80">
        <f t="shared" si="370"/>
        <v>5582.5978860257856</v>
      </c>
      <c r="U202" s="80">
        <v>19.557300048000002</v>
      </c>
      <c r="V202" s="80">
        <f t="shared" si="386"/>
        <v>19.556726882867491</v>
      </c>
      <c r="W202" s="80">
        <v>0</v>
      </c>
      <c r="X202" s="80">
        <f t="shared" si="387"/>
        <v>0</v>
      </c>
      <c r="Y202" s="80">
        <f t="shared" si="388"/>
        <v>5622.9244376280012</v>
      </c>
      <c r="Z202" s="80">
        <f t="shared" si="371"/>
        <v>5602.1546129086528</v>
      </c>
      <c r="AA202" s="81">
        <f t="shared" si="389"/>
        <v>5622.9244376280012</v>
      </c>
      <c r="AB202" s="81">
        <f t="shared" si="372"/>
        <v>5602.1546129086528</v>
      </c>
      <c r="AC202" s="81">
        <v>18.62</v>
      </c>
      <c r="AD202" s="81">
        <f t="shared" si="390"/>
        <v>18.87</v>
      </c>
      <c r="AE202" s="81">
        <v>0</v>
      </c>
      <c r="AF202" s="81">
        <f t="shared" si="391"/>
        <v>0</v>
      </c>
      <c r="AG202" s="81">
        <f t="shared" si="392"/>
        <v>5641.5444376280011</v>
      </c>
      <c r="AH202" s="81">
        <f t="shared" si="373"/>
        <v>5621.0246129086527</v>
      </c>
      <c r="AI202" s="82">
        <f t="shared" si="393"/>
        <v>5641.5444376280011</v>
      </c>
      <c r="AJ202" s="82">
        <f t="shared" si="374"/>
        <v>5621.0246129086527</v>
      </c>
      <c r="AK202" s="82">
        <v>71.13</v>
      </c>
      <c r="AL202" s="82">
        <f t="shared" si="394"/>
        <v>7.8900000000000006</v>
      </c>
      <c r="AM202" s="82">
        <v>0</v>
      </c>
      <c r="AN202" s="82">
        <f t="shared" si="395"/>
        <v>0</v>
      </c>
      <c r="AO202" s="82">
        <f t="shared" si="396"/>
        <v>5712.6744376280012</v>
      </c>
      <c r="AP202" s="82">
        <f t="shared" si="375"/>
        <v>5628.914612908653</v>
      </c>
      <c r="AQ202" s="83">
        <f t="shared" si="397"/>
        <v>5712.6744376280012</v>
      </c>
      <c r="AR202" s="83">
        <f t="shared" si="376"/>
        <v>5628.914612908653</v>
      </c>
      <c r="AS202" s="83">
        <v>1058.1500000000001</v>
      </c>
      <c r="AT202" s="83">
        <f t="shared" si="398"/>
        <v>481.48</v>
      </c>
      <c r="AU202" s="83">
        <v>0</v>
      </c>
      <c r="AV202" s="83">
        <f t="shared" si="399"/>
        <v>0</v>
      </c>
      <c r="AW202" s="83">
        <f t="shared" si="400"/>
        <v>6770.8244376280018</v>
      </c>
      <c r="AX202" s="83">
        <f t="shared" si="377"/>
        <v>6110.3946129086526</v>
      </c>
    </row>
    <row r="203" spans="1:50" x14ac:dyDescent="0.35">
      <c r="B203" s="7" t="s">
        <v>139</v>
      </c>
      <c r="C203" s="78">
        <v>0</v>
      </c>
      <c r="D203" s="92">
        <v>0</v>
      </c>
      <c r="E203" s="78">
        <v>6.373958</v>
      </c>
      <c r="F203" s="78">
        <f t="shared" si="378"/>
        <v>6.3731278147497559</v>
      </c>
      <c r="G203" s="78">
        <v>3.9345778999999999</v>
      </c>
      <c r="H203" s="78">
        <f t="shared" si="379"/>
        <v>3.9345778999999999</v>
      </c>
      <c r="I203" s="78">
        <f t="shared" si="380"/>
        <v>2.4393801000000002</v>
      </c>
      <c r="J203" s="78">
        <f t="shared" si="367"/>
        <v>2.438549914749756</v>
      </c>
      <c r="K203" s="79">
        <f t="shared" si="381"/>
        <v>2.4393801000000002</v>
      </c>
      <c r="L203" s="79">
        <f t="shared" si="368"/>
        <v>2.438549914749756</v>
      </c>
      <c r="M203" s="79">
        <v>0</v>
      </c>
      <c r="N203" s="79">
        <f t="shared" si="382"/>
        <v>0</v>
      </c>
      <c r="O203" s="79">
        <v>0</v>
      </c>
      <c r="P203" s="79">
        <f t="shared" si="383"/>
        <v>0</v>
      </c>
      <c r="Q203" s="79">
        <f t="shared" si="384"/>
        <v>2.4393801000000002</v>
      </c>
      <c r="R203" s="79">
        <f t="shared" si="369"/>
        <v>2.438549914749756</v>
      </c>
      <c r="S203" s="80">
        <f t="shared" si="385"/>
        <v>2.4393801000000002</v>
      </c>
      <c r="T203" s="80">
        <f t="shared" si="370"/>
        <v>2.438549914749756</v>
      </c>
      <c r="U203" s="80">
        <v>6.3227326000000001</v>
      </c>
      <c r="V203" s="80">
        <f t="shared" si="386"/>
        <v>6.3225472998890639</v>
      </c>
      <c r="W203" s="80">
        <v>3.7917640000000001</v>
      </c>
      <c r="X203" s="80">
        <f t="shared" si="387"/>
        <v>3.7917640000000001</v>
      </c>
      <c r="Y203" s="80">
        <f t="shared" si="388"/>
        <v>4.9703486999999988</v>
      </c>
      <c r="Z203" s="80">
        <f t="shared" si="371"/>
        <v>4.9693332146388194</v>
      </c>
      <c r="AA203" s="81">
        <f t="shared" si="389"/>
        <v>4.9703486999999988</v>
      </c>
      <c r="AB203" s="81">
        <f t="shared" si="372"/>
        <v>4.9693332146388194</v>
      </c>
      <c r="AC203" s="81">
        <v>0</v>
      </c>
      <c r="AD203" s="81">
        <f t="shared" si="390"/>
        <v>0</v>
      </c>
      <c r="AE203" s="81">
        <v>0</v>
      </c>
      <c r="AF203" s="81">
        <f t="shared" si="391"/>
        <v>0</v>
      </c>
      <c r="AG203" s="81">
        <f t="shared" si="392"/>
        <v>4.9703486999999988</v>
      </c>
      <c r="AH203" s="81">
        <f t="shared" si="373"/>
        <v>4.9693332146388194</v>
      </c>
      <c r="AI203" s="82">
        <f t="shared" si="393"/>
        <v>4.9703486999999988</v>
      </c>
      <c r="AJ203" s="82">
        <f t="shared" si="374"/>
        <v>4.9693332146388194</v>
      </c>
      <c r="AK203" s="82">
        <v>0</v>
      </c>
      <c r="AL203" s="82">
        <f t="shared" si="394"/>
        <v>0</v>
      </c>
      <c r="AM203" s="82">
        <v>0</v>
      </c>
      <c r="AN203" s="82">
        <f t="shared" si="395"/>
        <v>0</v>
      </c>
      <c r="AO203" s="82">
        <f t="shared" si="396"/>
        <v>4.9703486999999988</v>
      </c>
      <c r="AP203" s="82">
        <f t="shared" si="375"/>
        <v>4.9693332146388194</v>
      </c>
      <c r="AQ203" s="83">
        <f t="shared" si="397"/>
        <v>4.9703486999999988</v>
      </c>
      <c r="AR203" s="83">
        <f t="shared" si="376"/>
        <v>4.9693332146388194</v>
      </c>
      <c r="AS203" s="83">
        <v>0</v>
      </c>
      <c r="AT203" s="83">
        <f t="shared" si="398"/>
        <v>0</v>
      </c>
      <c r="AU203" s="83">
        <v>0</v>
      </c>
      <c r="AV203" s="83">
        <f t="shared" si="399"/>
        <v>0</v>
      </c>
      <c r="AW203" s="83">
        <f t="shared" si="400"/>
        <v>4.9703486999999988</v>
      </c>
      <c r="AX203" s="83">
        <f t="shared" si="377"/>
        <v>4.9693332146388194</v>
      </c>
    </row>
    <row r="204" spans="1:50" x14ac:dyDescent="0.35">
      <c r="B204" s="7" t="s">
        <v>140</v>
      </c>
      <c r="C204" s="78">
        <v>0</v>
      </c>
      <c r="D204" s="92">
        <v>0</v>
      </c>
      <c r="E204" s="78">
        <v>0</v>
      </c>
      <c r="F204" s="78">
        <f t="shared" si="378"/>
        <v>0</v>
      </c>
      <c r="G204" s="78">
        <v>0</v>
      </c>
      <c r="H204" s="78">
        <f t="shared" si="379"/>
        <v>0</v>
      </c>
      <c r="I204" s="78">
        <f t="shared" si="380"/>
        <v>0</v>
      </c>
      <c r="J204" s="78">
        <f t="shared" si="367"/>
        <v>0</v>
      </c>
      <c r="K204" s="79">
        <f t="shared" si="381"/>
        <v>0</v>
      </c>
      <c r="L204" s="79">
        <f t="shared" si="368"/>
        <v>0</v>
      </c>
      <c r="M204" s="79">
        <v>0.1019263</v>
      </c>
      <c r="N204" s="79">
        <f t="shared" si="382"/>
        <v>0.10170083185564693</v>
      </c>
      <c r="O204" s="79">
        <v>0</v>
      </c>
      <c r="P204" s="79">
        <f t="shared" si="383"/>
        <v>0</v>
      </c>
      <c r="Q204" s="79">
        <f t="shared" si="384"/>
        <v>0.1019263</v>
      </c>
      <c r="R204" s="79">
        <f t="shared" si="369"/>
        <v>0.10170083185564693</v>
      </c>
      <c r="S204" s="80">
        <f t="shared" si="385"/>
        <v>0.1019263</v>
      </c>
      <c r="T204" s="80">
        <f t="shared" si="370"/>
        <v>0.10170083185564693</v>
      </c>
      <c r="U204" s="80">
        <v>0</v>
      </c>
      <c r="V204" s="80">
        <f t="shared" si="386"/>
        <v>0</v>
      </c>
      <c r="W204" s="80">
        <v>0</v>
      </c>
      <c r="X204" s="80">
        <f t="shared" si="387"/>
        <v>0</v>
      </c>
      <c r="Y204" s="80">
        <f t="shared" si="388"/>
        <v>0.1019263</v>
      </c>
      <c r="Z204" s="80">
        <f t="shared" si="371"/>
        <v>0.10170083185564693</v>
      </c>
      <c r="AA204" s="81">
        <f t="shared" si="389"/>
        <v>0.1019263</v>
      </c>
      <c r="AB204" s="81">
        <f t="shared" si="372"/>
        <v>0.10170083185564693</v>
      </c>
      <c r="AC204" s="81">
        <v>0</v>
      </c>
      <c r="AD204" s="81">
        <f t="shared" si="390"/>
        <v>0</v>
      </c>
      <c r="AE204" s="81">
        <v>0</v>
      </c>
      <c r="AF204" s="81">
        <f t="shared" si="391"/>
        <v>0</v>
      </c>
      <c r="AG204" s="81">
        <f t="shared" si="392"/>
        <v>0.1019263</v>
      </c>
      <c r="AH204" s="81">
        <f t="shared" si="373"/>
        <v>0.10170083185564693</v>
      </c>
      <c r="AI204" s="82">
        <f t="shared" si="393"/>
        <v>0.1019263</v>
      </c>
      <c r="AJ204" s="82">
        <f t="shared" si="374"/>
        <v>0.10170083185564693</v>
      </c>
      <c r="AK204" s="82">
        <v>0</v>
      </c>
      <c r="AL204" s="82">
        <f t="shared" si="394"/>
        <v>0</v>
      </c>
      <c r="AM204" s="82">
        <v>0</v>
      </c>
      <c r="AN204" s="82">
        <f t="shared" si="395"/>
        <v>0</v>
      </c>
      <c r="AO204" s="82">
        <f t="shared" si="396"/>
        <v>0.1019263</v>
      </c>
      <c r="AP204" s="82">
        <f t="shared" si="375"/>
        <v>0.10170083185564693</v>
      </c>
      <c r="AQ204" s="83">
        <f t="shared" si="397"/>
        <v>0.1019263</v>
      </c>
      <c r="AR204" s="83">
        <f t="shared" si="376"/>
        <v>0.10170083185564693</v>
      </c>
      <c r="AS204" s="83">
        <v>0</v>
      </c>
      <c r="AT204" s="83">
        <f t="shared" si="398"/>
        <v>0</v>
      </c>
      <c r="AU204" s="83">
        <v>0</v>
      </c>
      <c r="AV204" s="83">
        <f t="shared" si="399"/>
        <v>0</v>
      </c>
      <c r="AW204" s="83">
        <f t="shared" si="400"/>
        <v>0.1019263</v>
      </c>
      <c r="AX204" s="83">
        <f t="shared" si="377"/>
        <v>0.10170083185564693</v>
      </c>
    </row>
    <row r="205" spans="1:50" x14ac:dyDescent="0.35">
      <c r="B205" s="7" t="s">
        <v>141</v>
      </c>
      <c r="C205" s="78">
        <v>48.460082443821648</v>
      </c>
      <c r="D205" s="92">
        <v>48.460082443821648</v>
      </c>
      <c r="E205" s="78">
        <v>0</v>
      </c>
      <c r="F205" s="78">
        <f t="shared" si="378"/>
        <v>0</v>
      </c>
      <c r="G205" s="78">
        <v>0</v>
      </c>
      <c r="H205" s="78">
        <f t="shared" si="379"/>
        <v>0</v>
      </c>
      <c r="I205" s="78">
        <f t="shared" si="380"/>
        <v>48.460082443821648</v>
      </c>
      <c r="J205" s="78">
        <f t="shared" si="367"/>
        <v>48.460082443821648</v>
      </c>
      <c r="K205" s="79">
        <f t="shared" si="381"/>
        <v>48.460082443821648</v>
      </c>
      <c r="L205" s="79">
        <f t="shared" si="368"/>
        <v>48.460082443821648</v>
      </c>
      <c r="M205" s="79">
        <v>0</v>
      </c>
      <c r="N205" s="79">
        <f t="shared" si="382"/>
        <v>0</v>
      </c>
      <c r="O205" s="79">
        <v>0</v>
      </c>
      <c r="P205" s="79">
        <f t="shared" si="383"/>
        <v>0</v>
      </c>
      <c r="Q205" s="79">
        <f t="shared" si="384"/>
        <v>48.460082443821648</v>
      </c>
      <c r="R205" s="79">
        <f t="shared" si="369"/>
        <v>48.460082443821648</v>
      </c>
      <c r="S205" s="80">
        <f t="shared" si="385"/>
        <v>48.460082443821648</v>
      </c>
      <c r="T205" s="80">
        <f t="shared" si="370"/>
        <v>48.460082443821648</v>
      </c>
      <c r="U205" s="80">
        <v>0</v>
      </c>
      <c r="V205" s="80">
        <f t="shared" si="386"/>
        <v>0</v>
      </c>
      <c r="W205" s="80">
        <v>0</v>
      </c>
      <c r="X205" s="80">
        <f t="shared" si="387"/>
        <v>0</v>
      </c>
      <c r="Y205" s="80">
        <f t="shared" si="388"/>
        <v>48.460082443821648</v>
      </c>
      <c r="Z205" s="80">
        <f t="shared" si="371"/>
        <v>48.460082443821648</v>
      </c>
      <c r="AA205" s="81">
        <f t="shared" si="389"/>
        <v>48.460082443821648</v>
      </c>
      <c r="AB205" s="81">
        <f t="shared" si="372"/>
        <v>48.460082443821648</v>
      </c>
      <c r="AC205" s="81">
        <v>0</v>
      </c>
      <c r="AD205" s="81">
        <f t="shared" si="390"/>
        <v>0</v>
      </c>
      <c r="AE205" s="81">
        <v>0</v>
      </c>
      <c r="AF205" s="81">
        <f t="shared" si="391"/>
        <v>0</v>
      </c>
      <c r="AG205" s="81">
        <f t="shared" si="392"/>
        <v>48.460082443821648</v>
      </c>
      <c r="AH205" s="81">
        <f t="shared" si="373"/>
        <v>48.460082443821648</v>
      </c>
      <c r="AI205" s="82">
        <f t="shared" si="393"/>
        <v>48.460082443821648</v>
      </c>
      <c r="AJ205" s="82">
        <f t="shared" si="374"/>
        <v>48.460082443821648</v>
      </c>
      <c r="AK205" s="82">
        <v>0</v>
      </c>
      <c r="AL205" s="82">
        <f t="shared" si="394"/>
        <v>0</v>
      </c>
      <c r="AM205" s="82">
        <v>0</v>
      </c>
      <c r="AN205" s="82">
        <f t="shared" si="395"/>
        <v>0</v>
      </c>
      <c r="AO205" s="82">
        <f t="shared" si="396"/>
        <v>48.460082443821648</v>
      </c>
      <c r="AP205" s="82">
        <f t="shared" si="375"/>
        <v>48.460082443821648</v>
      </c>
      <c r="AQ205" s="83">
        <f t="shared" si="397"/>
        <v>48.460082443821648</v>
      </c>
      <c r="AR205" s="83">
        <f t="shared" si="376"/>
        <v>48.460082443821648</v>
      </c>
      <c r="AS205" s="83">
        <v>0</v>
      </c>
      <c r="AT205" s="83">
        <f t="shared" si="398"/>
        <v>0</v>
      </c>
      <c r="AU205" s="83">
        <v>0</v>
      </c>
      <c r="AV205" s="83">
        <f t="shared" si="399"/>
        <v>0</v>
      </c>
      <c r="AW205" s="83">
        <f t="shared" si="400"/>
        <v>48.460082443821648</v>
      </c>
      <c r="AX205" s="83">
        <f t="shared" si="377"/>
        <v>48.460082443821648</v>
      </c>
    </row>
    <row r="206" spans="1:50" x14ac:dyDescent="0.35">
      <c r="B206" s="7" t="s">
        <v>142</v>
      </c>
      <c r="C206" s="78">
        <v>1.5370784879999999</v>
      </c>
      <c r="D206" s="92">
        <v>1.5370784879999999</v>
      </c>
      <c r="E206" s="78">
        <v>0</v>
      </c>
      <c r="F206" s="78">
        <f t="shared" si="378"/>
        <v>0</v>
      </c>
      <c r="G206" s="78">
        <v>0</v>
      </c>
      <c r="H206" s="78">
        <f t="shared" si="379"/>
        <v>0</v>
      </c>
      <c r="I206" s="78">
        <f t="shared" si="380"/>
        <v>1.5370784879999999</v>
      </c>
      <c r="J206" s="78">
        <f t="shared" si="367"/>
        <v>1.5370784879999999</v>
      </c>
      <c r="K206" s="79">
        <f t="shared" si="381"/>
        <v>1.5370784879999999</v>
      </c>
      <c r="L206" s="79">
        <f t="shared" si="368"/>
        <v>1.5370784879999999</v>
      </c>
      <c r="M206" s="79">
        <v>0</v>
      </c>
      <c r="N206" s="79">
        <f t="shared" si="382"/>
        <v>0</v>
      </c>
      <c r="O206" s="79">
        <v>0</v>
      </c>
      <c r="P206" s="79">
        <f t="shared" si="383"/>
        <v>0</v>
      </c>
      <c r="Q206" s="79">
        <f t="shared" si="384"/>
        <v>1.5370784879999999</v>
      </c>
      <c r="R206" s="79">
        <f t="shared" si="369"/>
        <v>1.5370784879999999</v>
      </c>
      <c r="S206" s="80">
        <f t="shared" si="385"/>
        <v>1.5370784879999999</v>
      </c>
      <c r="T206" s="80">
        <f t="shared" si="370"/>
        <v>1.5370784879999999</v>
      </c>
      <c r="U206" s="80">
        <v>1.7765</v>
      </c>
      <c r="V206" s="80">
        <f t="shared" si="386"/>
        <v>1.7764479361744512</v>
      </c>
      <c r="W206" s="80">
        <v>0</v>
      </c>
      <c r="X206" s="80">
        <f t="shared" si="387"/>
        <v>0</v>
      </c>
      <c r="Y206" s="80">
        <f t="shared" si="388"/>
        <v>3.3135784880000001</v>
      </c>
      <c r="Z206" s="80">
        <f t="shared" si="371"/>
        <v>3.3135264241744511</v>
      </c>
      <c r="AA206" s="81">
        <f t="shared" si="389"/>
        <v>3.3135784880000001</v>
      </c>
      <c r="AB206" s="81">
        <f t="shared" si="372"/>
        <v>3.3135264241744511</v>
      </c>
      <c r="AC206" s="81">
        <v>0</v>
      </c>
      <c r="AD206" s="81">
        <f t="shared" si="390"/>
        <v>0</v>
      </c>
      <c r="AE206" s="81">
        <v>0</v>
      </c>
      <c r="AF206" s="81">
        <f t="shared" si="391"/>
        <v>0</v>
      </c>
      <c r="AG206" s="81">
        <f t="shared" si="392"/>
        <v>3.3135784880000001</v>
      </c>
      <c r="AH206" s="81">
        <f t="shared" si="373"/>
        <v>3.3135264241744511</v>
      </c>
      <c r="AI206" s="82">
        <f t="shared" si="393"/>
        <v>3.3135784880000001</v>
      </c>
      <c r="AJ206" s="82">
        <f t="shared" si="374"/>
        <v>3.3135264241744511</v>
      </c>
      <c r="AK206" s="82">
        <v>0</v>
      </c>
      <c r="AL206" s="82">
        <f t="shared" si="394"/>
        <v>0</v>
      </c>
      <c r="AM206" s="82">
        <v>0</v>
      </c>
      <c r="AN206" s="82">
        <f t="shared" si="395"/>
        <v>0</v>
      </c>
      <c r="AO206" s="82">
        <f t="shared" si="396"/>
        <v>3.3135784880000001</v>
      </c>
      <c r="AP206" s="82">
        <f t="shared" si="375"/>
        <v>3.3135264241744511</v>
      </c>
      <c r="AQ206" s="83">
        <f t="shared" si="397"/>
        <v>3.3135784880000001</v>
      </c>
      <c r="AR206" s="83">
        <f t="shared" si="376"/>
        <v>3.3135264241744511</v>
      </c>
      <c r="AS206" s="83">
        <v>0</v>
      </c>
      <c r="AT206" s="83">
        <f t="shared" si="398"/>
        <v>0</v>
      </c>
      <c r="AU206" s="83">
        <v>0</v>
      </c>
      <c r="AV206" s="83">
        <f t="shared" si="399"/>
        <v>0</v>
      </c>
      <c r="AW206" s="83">
        <f t="shared" si="400"/>
        <v>3.3135784880000001</v>
      </c>
      <c r="AX206" s="83">
        <f t="shared" si="377"/>
        <v>3.3135264241744511</v>
      </c>
    </row>
    <row r="207" spans="1:50" x14ac:dyDescent="0.35">
      <c r="B207" s="7" t="s">
        <v>143</v>
      </c>
      <c r="C207" s="78">
        <v>1.803334410577375</v>
      </c>
      <c r="D207" s="147">
        <f>1.10181934457737*0+C207</f>
        <v>1.803334410577375</v>
      </c>
      <c r="E207" s="78">
        <v>0.21333523199999999</v>
      </c>
      <c r="F207" s="78">
        <f t="shared" si="378"/>
        <v>0.2133074458484496</v>
      </c>
      <c r="G207" s="78">
        <v>0</v>
      </c>
      <c r="H207" s="78">
        <f t="shared" si="379"/>
        <v>0</v>
      </c>
      <c r="I207" s="78">
        <f t="shared" si="380"/>
        <v>2.0166696425773751</v>
      </c>
      <c r="J207" s="78">
        <f t="shared" si="367"/>
        <v>2.0166418564258244</v>
      </c>
      <c r="K207" s="79">
        <f t="shared" si="381"/>
        <v>2.0166696425773751</v>
      </c>
      <c r="L207" s="79">
        <f t="shared" si="368"/>
        <v>2.0166418564258244</v>
      </c>
      <c r="M207" s="79">
        <v>0.23453750000000001</v>
      </c>
      <c r="N207" s="79">
        <f t="shared" si="382"/>
        <v>0.23401868655434166</v>
      </c>
      <c r="O207" s="79">
        <v>0</v>
      </c>
      <c r="P207" s="79">
        <f t="shared" si="383"/>
        <v>0</v>
      </c>
      <c r="Q207" s="79">
        <f t="shared" si="384"/>
        <v>2.2512071425773752</v>
      </c>
      <c r="R207" s="79">
        <f t="shared" si="369"/>
        <v>2.250660542980166</v>
      </c>
      <c r="S207" s="80">
        <f t="shared" si="385"/>
        <v>2.2512071425773752</v>
      </c>
      <c r="T207" s="80">
        <f t="shared" si="370"/>
        <v>2.250660542980166</v>
      </c>
      <c r="U207" s="80">
        <v>0.57868969999999997</v>
      </c>
      <c r="V207" s="80">
        <f t="shared" si="386"/>
        <v>0.57867274036049099</v>
      </c>
      <c r="W207" s="80">
        <v>0</v>
      </c>
      <c r="X207" s="80">
        <f t="shared" si="387"/>
        <v>0</v>
      </c>
      <c r="Y207" s="80">
        <f t="shared" si="388"/>
        <v>2.8298968425773752</v>
      </c>
      <c r="Z207" s="80">
        <f t="shared" si="371"/>
        <v>2.8293332833406568</v>
      </c>
      <c r="AA207" s="81">
        <f t="shared" si="389"/>
        <v>2.8298968425773752</v>
      </c>
      <c r="AB207" s="81">
        <f t="shared" si="372"/>
        <v>2.8293332833406568</v>
      </c>
      <c r="AC207" s="81">
        <v>0</v>
      </c>
      <c r="AD207" s="81">
        <f t="shared" si="390"/>
        <v>0</v>
      </c>
      <c r="AE207" s="81">
        <v>0</v>
      </c>
      <c r="AF207" s="81">
        <f t="shared" si="391"/>
        <v>0</v>
      </c>
      <c r="AG207" s="81">
        <f t="shared" si="392"/>
        <v>2.8298968425773752</v>
      </c>
      <c r="AH207" s="81">
        <f t="shared" si="373"/>
        <v>2.8293332833406568</v>
      </c>
      <c r="AI207" s="82">
        <f t="shared" si="393"/>
        <v>2.8298968425773752</v>
      </c>
      <c r="AJ207" s="82">
        <f t="shared" si="374"/>
        <v>2.8293332833406568</v>
      </c>
      <c r="AK207" s="82">
        <v>0</v>
      </c>
      <c r="AL207" s="82">
        <f t="shared" si="394"/>
        <v>0</v>
      </c>
      <c r="AM207" s="82">
        <v>0</v>
      </c>
      <c r="AN207" s="82">
        <f t="shared" si="395"/>
        <v>0</v>
      </c>
      <c r="AO207" s="82">
        <f t="shared" si="396"/>
        <v>2.8298968425773752</v>
      </c>
      <c r="AP207" s="82">
        <f t="shared" si="375"/>
        <v>2.8293332833406568</v>
      </c>
      <c r="AQ207" s="83">
        <f t="shared" si="397"/>
        <v>2.8298968425773752</v>
      </c>
      <c r="AR207" s="83">
        <f t="shared" si="376"/>
        <v>2.8293332833406568</v>
      </c>
      <c r="AS207" s="83">
        <v>0</v>
      </c>
      <c r="AT207" s="83">
        <f t="shared" si="398"/>
        <v>0</v>
      </c>
      <c r="AU207" s="83">
        <v>0</v>
      </c>
      <c r="AV207" s="83">
        <f t="shared" si="399"/>
        <v>0</v>
      </c>
      <c r="AW207" s="83">
        <f t="shared" si="400"/>
        <v>2.8298968425773752</v>
      </c>
      <c r="AX207" s="83">
        <f t="shared" si="377"/>
        <v>2.8293332833406568</v>
      </c>
    </row>
    <row r="208" spans="1:50" x14ac:dyDescent="0.35">
      <c r="B208" s="7" t="s">
        <v>144</v>
      </c>
      <c r="C208" s="78">
        <v>0.38128723191616498</v>
      </c>
      <c r="D208" s="147">
        <f>0.00560024491616497*0+C208</f>
        <v>0.38128723191616498</v>
      </c>
      <c r="E208" s="78">
        <v>0.22996406</v>
      </c>
      <c r="F208" s="78">
        <f t="shared" si="378"/>
        <v>0.22993410800303074</v>
      </c>
      <c r="G208" s="78">
        <v>0</v>
      </c>
      <c r="H208" s="78">
        <f t="shared" si="379"/>
        <v>0</v>
      </c>
      <c r="I208" s="78">
        <f t="shared" si="380"/>
        <v>0.61125129191616501</v>
      </c>
      <c r="J208" s="78">
        <f t="shared" si="367"/>
        <v>0.61122133991919569</v>
      </c>
      <c r="K208" s="79">
        <f t="shared" si="381"/>
        <v>0.61125129191616501</v>
      </c>
      <c r="L208" s="79">
        <f t="shared" si="368"/>
        <v>0.61122133991919569</v>
      </c>
      <c r="M208" s="79">
        <v>0.4484284</v>
      </c>
      <c r="N208" s="79">
        <f t="shared" si="382"/>
        <v>0.44743644484001466</v>
      </c>
      <c r="O208" s="79">
        <v>0</v>
      </c>
      <c r="P208" s="79">
        <f t="shared" si="383"/>
        <v>0</v>
      </c>
      <c r="Q208" s="79">
        <f t="shared" si="384"/>
        <v>1.0596796919161651</v>
      </c>
      <c r="R208" s="79">
        <f t="shared" si="369"/>
        <v>1.0586577847592102</v>
      </c>
      <c r="S208" s="80">
        <f t="shared" si="385"/>
        <v>1.0596796919161651</v>
      </c>
      <c r="T208" s="80">
        <f t="shared" si="370"/>
        <v>1.0586577847592102</v>
      </c>
      <c r="U208" s="80">
        <v>3.8467899999999999E-2</v>
      </c>
      <c r="V208" s="80">
        <f t="shared" si="386"/>
        <v>3.846677262255286E-2</v>
      </c>
      <c r="W208" s="80">
        <v>0</v>
      </c>
      <c r="X208" s="80">
        <f t="shared" si="387"/>
        <v>0</v>
      </c>
      <c r="Y208" s="80">
        <f t="shared" si="388"/>
        <v>1.098147591916165</v>
      </c>
      <c r="Z208" s="80">
        <f t="shared" si="371"/>
        <v>1.0971245573817632</v>
      </c>
      <c r="AA208" s="81">
        <f t="shared" si="389"/>
        <v>1.098147591916165</v>
      </c>
      <c r="AB208" s="81">
        <f t="shared" si="372"/>
        <v>1.0971245573817632</v>
      </c>
      <c r="AC208" s="81">
        <v>0</v>
      </c>
      <c r="AD208" s="81">
        <f t="shared" si="390"/>
        <v>0</v>
      </c>
      <c r="AE208" s="81">
        <v>0</v>
      </c>
      <c r="AF208" s="81">
        <f t="shared" si="391"/>
        <v>0</v>
      </c>
      <c r="AG208" s="81">
        <f t="shared" si="392"/>
        <v>1.098147591916165</v>
      </c>
      <c r="AH208" s="81">
        <f t="shared" si="373"/>
        <v>1.0971245573817632</v>
      </c>
      <c r="AI208" s="82">
        <f t="shared" si="393"/>
        <v>1.098147591916165</v>
      </c>
      <c r="AJ208" s="82">
        <f t="shared" si="374"/>
        <v>1.0971245573817632</v>
      </c>
      <c r="AK208" s="82">
        <v>0</v>
      </c>
      <c r="AL208" s="82">
        <f t="shared" si="394"/>
        <v>0</v>
      </c>
      <c r="AM208" s="82">
        <v>0</v>
      </c>
      <c r="AN208" s="82">
        <f t="shared" si="395"/>
        <v>0</v>
      </c>
      <c r="AO208" s="82">
        <f t="shared" si="396"/>
        <v>1.098147591916165</v>
      </c>
      <c r="AP208" s="82">
        <f t="shared" si="375"/>
        <v>1.0971245573817632</v>
      </c>
      <c r="AQ208" s="83">
        <f t="shared" si="397"/>
        <v>1.098147591916165</v>
      </c>
      <c r="AR208" s="83">
        <f t="shared" si="376"/>
        <v>1.0971245573817632</v>
      </c>
      <c r="AS208" s="83">
        <v>0</v>
      </c>
      <c r="AT208" s="83">
        <f t="shared" si="398"/>
        <v>0</v>
      </c>
      <c r="AU208" s="83">
        <v>0</v>
      </c>
      <c r="AV208" s="83">
        <f t="shared" si="399"/>
        <v>0</v>
      </c>
      <c r="AW208" s="83">
        <f t="shared" si="400"/>
        <v>1.098147591916165</v>
      </c>
      <c r="AX208" s="83">
        <f t="shared" si="377"/>
        <v>1.0971245573817632</v>
      </c>
    </row>
    <row r="209" spans="1:50" x14ac:dyDescent="0.35">
      <c r="B209" s="7" t="s">
        <v>145</v>
      </c>
      <c r="C209" s="78">
        <v>0</v>
      </c>
      <c r="D209" s="92">
        <v>0</v>
      </c>
      <c r="E209" s="78">
        <v>0</v>
      </c>
      <c r="F209" s="78">
        <f t="shared" si="378"/>
        <v>0</v>
      </c>
      <c r="G209" s="78">
        <v>0</v>
      </c>
      <c r="H209" s="78">
        <f t="shared" si="379"/>
        <v>0</v>
      </c>
      <c r="I209" s="78">
        <f t="shared" si="380"/>
        <v>0</v>
      </c>
      <c r="J209" s="78">
        <f t="shared" si="367"/>
        <v>0</v>
      </c>
      <c r="K209" s="79">
        <f t="shared" si="381"/>
        <v>0</v>
      </c>
      <c r="L209" s="79">
        <f t="shared" si="368"/>
        <v>0</v>
      </c>
      <c r="M209" s="79">
        <v>0</v>
      </c>
      <c r="N209" s="79">
        <f t="shared" si="382"/>
        <v>0</v>
      </c>
      <c r="O209" s="79">
        <v>0</v>
      </c>
      <c r="P209" s="79">
        <f t="shared" si="383"/>
        <v>0</v>
      </c>
      <c r="Q209" s="79">
        <f t="shared" si="384"/>
        <v>0</v>
      </c>
      <c r="R209" s="79">
        <f t="shared" si="369"/>
        <v>0</v>
      </c>
      <c r="S209" s="80">
        <f t="shared" si="385"/>
        <v>0</v>
      </c>
      <c r="T209" s="80">
        <f t="shared" si="370"/>
        <v>0</v>
      </c>
      <c r="U209" s="80">
        <v>0</v>
      </c>
      <c r="V209" s="80">
        <f t="shared" si="386"/>
        <v>0</v>
      </c>
      <c r="W209" s="80">
        <v>0</v>
      </c>
      <c r="X209" s="80">
        <f t="shared" si="387"/>
        <v>0</v>
      </c>
      <c r="Y209" s="80">
        <f t="shared" si="388"/>
        <v>0</v>
      </c>
      <c r="Z209" s="80">
        <f t="shared" si="371"/>
        <v>0</v>
      </c>
      <c r="AA209" s="81">
        <f t="shared" si="389"/>
        <v>0</v>
      </c>
      <c r="AB209" s="81">
        <f t="shared" si="372"/>
        <v>0</v>
      </c>
      <c r="AC209" s="81">
        <v>0</v>
      </c>
      <c r="AD209" s="81">
        <f t="shared" si="390"/>
        <v>0</v>
      </c>
      <c r="AE209" s="81">
        <v>0</v>
      </c>
      <c r="AF209" s="81">
        <f t="shared" si="391"/>
        <v>0</v>
      </c>
      <c r="AG209" s="81">
        <f t="shared" si="392"/>
        <v>0</v>
      </c>
      <c r="AH209" s="81">
        <f t="shared" si="373"/>
        <v>0</v>
      </c>
      <c r="AI209" s="82">
        <f t="shared" si="393"/>
        <v>0</v>
      </c>
      <c r="AJ209" s="82">
        <f t="shared" si="374"/>
        <v>0</v>
      </c>
      <c r="AK209" s="82">
        <v>0</v>
      </c>
      <c r="AL209" s="82">
        <f t="shared" si="394"/>
        <v>0</v>
      </c>
      <c r="AM209" s="82">
        <v>0</v>
      </c>
      <c r="AN209" s="82">
        <f t="shared" si="395"/>
        <v>0</v>
      </c>
      <c r="AO209" s="82">
        <f t="shared" si="396"/>
        <v>0</v>
      </c>
      <c r="AP209" s="82">
        <f t="shared" si="375"/>
        <v>0</v>
      </c>
      <c r="AQ209" s="83">
        <f t="shared" si="397"/>
        <v>0</v>
      </c>
      <c r="AR209" s="83">
        <f t="shared" si="376"/>
        <v>0</v>
      </c>
      <c r="AS209" s="83">
        <v>0</v>
      </c>
      <c r="AT209" s="83">
        <f t="shared" si="398"/>
        <v>0</v>
      </c>
      <c r="AU209" s="83">
        <v>0</v>
      </c>
      <c r="AV209" s="83">
        <f t="shared" si="399"/>
        <v>0</v>
      </c>
      <c r="AW209" s="83">
        <f t="shared" si="400"/>
        <v>0</v>
      </c>
      <c r="AX209" s="83">
        <f t="shared" si="377"/>
        <v>0</v>
      </c>
    </row>
    <row r="210" spans="1:50" x14ac:dyDescent="0.35">
      <c r="B210" s="7" t="s">
        <v>146</v>
      </c>
      <c r="C210" s="78">
        <v>0</v>
      </c>
      <c r="D210" s="92">
        <v>0</v>
      </c>
      <c r="E210" s="78">
        <v>0</v>
      </c>
      <c r="F210" s="78">
        <f t="shared" si="378"/>
        <v>0</v>
      </c>
      <c r="G210" s="78">
        <v>0</v>
      </c>
      <c r="H210" s="78">
        <f t="shared" si="379"/>
        <v>0</v>
      </c>
      <c r="I210" s="78">
        <f t="shared" si="380"/>
        <v>0</v>
      </c>
      <c r="J210" s="78">
        <f t="shared" si="367"/>
        <v>0</v>
      </c>
      <c r="K210" s="79">
        <f t="shared" si="381"/>
        <v>0</v>
      </c>
      <c r="L210" s="79">
        <f t="shared" si="368"/>
        <v>0</v>
      </c>
      <c r="M210" s="79">
        <v>0</v>
      </c>
      <c r="N210" s="79">
        <f t="shared" si="382"/>
        <v>0</v>
      </c>
      <c r="O210" s="79">
        <v>0</v>
      </c>
      <c r="P210" s="79">
        <f t="shared" si="383"/>
        <v>0</v>
      </c>
      <c r="Q210" s="79">
        <f t="shared" si="384"/>
        <v>0</v>
      </c>
      <c r="R210" s="79">
        <f t="shared" si="369"/>
        <v>0</v>
      </c>
      <c r="S210" s="80">
        <f t="shared" si="385"/>
        <v>0</v>
      </c>
      <c r="T210" s="80">
        <f t="shared" si="370"/>
        <v>0</v>
      </c>
      <c r="U210" s="80">
        <v>0</v>
      </c>
      <c r="V210" s="80">
        <f t="shared" si="386"/>
        <v>0</v>
      </c>
      <c r="W210" s="80">
        <v>0</v>
      </c>
      <c r="X210" s="80">
        <f t="shared" si="387"/>
        <v>0</v>
      </c>
      <c r="Y210" s="80">
        <f t="shared" si="388"/>
        <v>0</v>
      </c>
      <c r="Z210" s="80">
        <f t="shared" si="371"/>
        <v>0</v>
      </c>
      <c r="AA210" s="81">
        <f t="shared" si="389"/>
        <v>0</v>
      </c>
      <c r="AB210" s="81">
        <f t="shared" si="372"/>
        <v>0</v>
      </c>
      <c r="AC210" s="81">
        <v>0</v>
      </c>
      <c r="AD210" s="81">
        <f t="shared" si="390"/>
        <v>0</v>
      </c>
      <c r="AE210" s="81">
        <v>0</v>
      </c>
      <c r="AF210" s="81">
        <f t="shared" si="391"/>
        <v>0</v>
      </c>
      <c r="AG210" s="81">
        <f t="shared" si="392"/>
        <v>0</v>
      </c>
      <c r="AH210" s="81">
        <f t="shared" si="373"/>
        <v>0</v>
      </c>
      <c r="AI210" s="82">
        <f t="shared" si="393"/>
        <v>0</v>
      </c>
      <c r="AJ210" s="82">
        <f t="shared" si="374"/>
        <v>0</v>
      </c>
      <c r="AK210" s="82">
        <v>0</v>
      </c>
      <c r="AL210" s="82">
        <f t="shared" si="394"/>
        <v>0</v>
      </c>
      <c r="AM210" s="82">
        <v>0</v>
      </c>
      <c r="AN210" s="82">
        <f t="shared" si="395"/>
        <v>0</v>
      </c>
      <c r="AO210" s="82">
        <f t="shared" si="396"/>
        <v>0</v>
      </c>
      <c r="AP210" s="82">
        <f t="shared" si="375"/>
        <v>0</v>
      </c>
      <c r="AQ210" s="83">
        <f t="shared" si="397"/>
        <v>0</v>
      </c>
      <c r="AR210" s="83">
        <f t="shared" si="376"/>
        <v>0</v>
      </c>
      <c r="AS210" s="83">
        <v>0</v>
      </c>
      <c r="AT210" s="83">
        <f t="shared" si="398"/>
        <v>0</v>
      </c>
      <c r="AU210" s="83">
        <v>0</v>
      </c>
      <c r="AV210" s="83">
        <f t="shared" si="399"/>
        <v>0</v>
      </c>
      <c r="AW210" s="83">
        <f t="shared" si="400"/>
        <v>0</v>
      </c>
      <c r="AX210" s="83">
        <f t="shared" si="377"/>
        <v>0</v>
      </c>
    </row>
    <row r="211" spans="1:50" x14ac:dyDescent="0.35">
      <c r="B211" s="7" t="s">
        <v>147</v>
      </c>
      <c r="C211" s="78">
        <v>0</v>
      </c>
      <c r="D211" s="92">
        <v>0</v>
      </c>
      <c r="E211" s="78">
        <v>0</v>
      </c>
      <c r="F211" s="78">
        <f t="shared" si="378"/>
        <v>0</v>
      </c>
      <c r="G211" s="78">
        <v>0</v>
      </c>
      <c r="H211" s="78">
        <f t="shared" si="379"/>
        <v>0</v>
      </c>
      <c r="I211" s="78">
        <f t="shared" si="380"/>
        <v>0</v>
      </c>
      <c r="J211" s="78">
        <f t="shared" si="367"/>
        <v>0</v>
      </c>
      <c r="K211" s="79">
        <f t="shared" si="381"/>
        <v>0</v>
      </c>
      <c r="L211" s="79">
        <f t="shared" si="368"/>
        <v>0</v>
      </c>
      <c r="M211" s="79">
        <v>0</v>
      </c>
      <c r="N211" s="79">
        <f t="shared" si="382"/>
        <v>0</v>
      </c>
      <c r="O211" s="79">
        <v>0</v>
      </c>
      <c r="P211" s="79">
        <f t="shared" si="383"/>
        <v>0</v>
      </c>
      <c r="Q211" s="79">
        <f t="shared" si="384"/>
        <v>0</v>
      </c>
      <c r="R211" s="79">
        <f t="shared" si="369"/>
        <v>0</v>
      </c>
      <c r="S211" s="80">
        <f t="shared" si="385"/>
        <v>0</v>
      </c>
      <c r="T211" s="80">
        <f t="shared" si="370"/>
        <v>0</v>
      </c>
      <c r="U211" s="80">
        <v>0</v>
      </c>
      <c r="V211" s="80">
        <f t="shared" si="386"/>
        <v>0</v>
      </c>
      <c r="W211" s="80">
        <v>0</v>
      </c>
      <c r="X211" s="80">
        <f t="shared" si="387"/>
        <v>0</v>
      </c>
      <c r="Y211" s="80">
        <f t="shared" si="388"/>
        <v>0</v>
      </c>
      <c r="Z211" s="80">
        <f t="shared" si="371"/>
        <v>0</v>
      </c>
      <c r="AA211" s="81">
        <f t="shared" si="389"/>
        <v>0</v>
      </c>
      <c r="AB211" s="81">
        <f t="shared" si="372"/>
        <v>0</v>
      </c>
      <c r="AC211" s="81">
        <v>0</v>
      </c>
      <c r="AD211" s="81">
        <f t="shared" si="390"/>
        <v>0</v>
      </c>
      <c r="AE211" s="81">
        <v>0</v>
      </c>
      <c r="AF211" s="81">
        <f t="shared" si="391"/>
        <v>0</v>
      </c>
      <c r="AG211" s="81">
        <f t="shared" si="392"/>
        <v>0</v>
      </c>
      <c r="AH211" s="81">
        <f t="shared" si="373"/>
        <v>0</v>
      </c>
      <c r="AI211" s="82">
        <f t="shared" si="393"/>
        <v>0</v>
      </c>
      <c r="AJ211" s="82">
        <f t="shared" si="374"/>
        <v>0</v>
      </c>
      <c r="AK211" s="82">
        <v>0</v>
      </c>
      <c r="AL211" s="82">
        <f t="shared" si="394"/>
        <v>0</v>
      </c>
      <c r="AM211" s="82">
        <v>0</v>
      </c>
      <c r="AN211" s="82">
        <f t="shared" si="395"/>
        <v>0</v>
      </c>
      <c r="AO211" s="82">
        <f t="shared" si="396"/>
        <v>0</v>
      </c>
      <c r="AP211" s="82">
        <f t="shared" si="375"/>
        <v>0</v>
      </c>
      <c r="AQ211" s="83">
        <f t="shared" si="397"/>
        <v>0</v>
      </c>
      <c r="AR211" s="83">
        <f t="shared" si="376"/>
        <v>0</v>
      </c>
      <c r="AS211" s="83">
        <v>0</v>
      </c>
      <c r="AT211" s="83">
        <f t="shared" si="398"/>
        <v>0</v>
      </c>
      <c r="AU211" s="83">
        <v>0</v>
      </c>
      <c r="AV211" s="83">
        <f t="shared" si="399"/>
        <v>0</v>
      </c>
      <c r="AW211" s="83">
        <f t="shared" si="400"/>
        <v>0</v>
      </c>
      <c r="AX211" s="83">
        <f t="shared" si="377"/>
        <v>0</v>
      </c>
    </row>
    <row r="212" spans="1:50" x14ac:dyDescent="0.35">
      <c r="B212" s="7" t="s">
        <v>148</v>
      </c>
      <c r="C212" s="78">
        <v>0</v>
      </c>
      <c r="D212" s="92">
        <v>0</v>
      </c>
      <c r="E212" s="78">
        <v>0</v>
      </c>
      <c r="F212" s="78">
        <f t="shared" si="378"/>
        <v>0</v>
      </c>
      <c r="G212" s="78">
        <v>0</v>
      </c>
      <c r="H212" s="78">
        <f t="shared" si="379"/>
        <v>0</v>
      </c>
      <c r="I212" s="78">
        <f t="shared" si="380"/>
        <v>0</v>
      </c>
      <c r="J212" s="78">
        <f t="shared" si="367"/>
        <v>0</v>
      </c>
      <c r="K212" s="79">
        <f t="shared" si="381"/>
        <v>0</v>
      </c>
      <c r="L212" s="79">
        <f t="shared" si="368"/>
        <v>0</v>
      </c>
      <c r="M212" s="79">
        <v>0</v>
      </c>
      <c r="N212" s="79">
        <f t="shared" si="382"/>
        <v>0</v>
      </c>
      <c r="O212" s="79">
        <v>0</v>
      </c>
      <c r="P212" s="79">
        <f t="shared" si="383"/>
        <v>0</v>
      </c>
      <c r="Q212" s="79">
        <f t="shared" si="384"/>
        <v>0</v>
      </c>
      <c r="R212" s="79">
        <f t="shared" si="369"/>
        <v>0</v>
      </c>
      <c r="S212" s="80">
        <f t="shared" si="385"/>
        <v>0</v>
      </c>
      <c r="T212" s="80">
        <f t="shared" si="370"/>
        <v>0</v>
      </c>
      <c r="U212" s="80">
        <v>0</v>
      </c>
      <c r="V212" s="80">
        <f t="shared" si="386"/>
        <v>0</v>
      </c>
      <c r="W212" s="80">
        <v>0</v>
      </c>
      <c r="X212" s="80">
        <f t="shared" si="387"/>
        <v>0</v>
      </c>
      <c r="Y212" s="80">
        <f t="shared" si="388"/>
        <v>0</v>
      </c>
      <c r="Z212" s="80">
        <f t="shared" si="371"/>
        <v>0</v>
      </c>
      <c r="AA212" s="81">
        <f t="shared" si="389"/>
        <v>0</v>
      </c>
      <c r="AB212" s="81">
        <f t="shared" si="372"/>
        <v>0</v>
      </c>
      <c r="AC212" s="81">
        <v>0</v>
      </c>
      <c r="AD212" s="81">
        <f t="shared" si="390"/>
        <v>0</v>
      </c>
      <c r="AE212" s="81">
        <v>0</v>
      </c>
      <c r="AF212" s="81">
        <f t="shared" si="391"/>
        <v>0</v>
      </c>
      <c r="AG212" s="81">
        <f t="shared" si="392"/>
        <v>0</v>
      </c>
      <c r="AH212" s="81">
        <f t="shared" si="373"/>
        <v>0</v>
      </c>
      <c r="AI212" s="82">
        <f t="shared" si="393"/>
        <v>0</v>
      </c>
      <c r="AJ212" s="82">
        <f t="shared" si="374"/>
        <v>0</v>
      </c>
      <c r="AK212" s="82">
        <v>0</v>
      </c>
      <c r="AL212" s="82">
        <f t="shared" si="394"/>
        <v>0</v>
      </c>
      <c r="AM212" s="82">
        <v>0</v>
      </c>
      <c r="AN212" s="82">
        <f t="shared" si="395"/>
        <v>0</v>
      </c>
      <c r="AO212" s="82">
        <f t="shared" si="396"/>
        <v>0</v>
      </c>
      <c r="AP212" s="82">
        <f t="shared" si="375"/>
        <v>0</v>
      </c>
      <c r="AQ212" s="83">
        <f t="shared" si="397"/>
        <v>0</v>
      </c>
      <c r="AR212" s="83">
        <f t="shared" si="376"/>
        <v>0</v>
      </c>
      <c r="AS212" s="83">
        <v>0</v>
      </c>
      <c r="AT212" s="83">
        <f t="shared" si="398"/>
        <v>0</v>
      </c>
      <c r="AU212" s="83">
        <v>0</v>
      </c>
      <c r="AV212" s="83">
        <f t="shared" si="399"/>
        <v>0</v>
      </c>
      <c r="AW212" s="83">
        <f t="shared" si="400"/>
        <v>0</v>
      </c>
      <c r="AX212" s="83">
        <f t="shared" si="377"/>
        <v>0</v>
      </c>
    </row>
    <row r="213" spans="1:50" ht="31" x14ac:dyDescent="0.35">
      <c r="B213" s="84" t="s">
        <v>149</v>
      </c>
      <c r="C213" s="78">
        <v>0</v>
      </c>
      <c r="D213" s="92">
        <v>0</v>
      </c>
      <c r="E213" s="78">
        <v>0</v>
      </c>
      <c r="F213" s="78">
        <f t="shared" si="378"/>
        <v>0</v>
      </c>
      <c r="G213" s="78">
        <v>0</v>
      </c>
      <c r="H213" s="78">
        <f t="shared" si="379"/>
        <v>0</v>
      </c>
      <c r="I213" s="78">
        <f t="shared" si="380"/>
        <v>0</v>
      </c>
      <c r="J213" s="78">
        <f t="shared" si="367"/>
        <v>0</v>
      </c>
      <c r="K213" s="79">
        <f t="shared" si="381"/>
        <v>0</v>
      </c>
      <c r="L213" s="79">
        <f t="shared" si="368"/>
        <v>0</v>
      </c>
      <c r="M213" s="79">
        <v>0</v>
      </c>
      <c r="N213" s="79">
        <f t="shared" si="382"/>
        <v>0</v>
      </c>
      <c r="O213" s="79">
        <v>0</v>
      </c>
      <c r="P213" s="79">
        <f t="shared" si="383"/>
        <v>0</v>
      </c>
      <c r="Q213" s="79">
        <f t="shared" si="384"/>
        <v>0</v>
      </c>
      <c r="R213" s="79">
        <f t="shared" si="369"/>
        <v>0</v>
      </c>
      <c r="S213" s="80">
        <f t="shared" si="385"/>
        <v>0</v>
      </c>
      <c r="T213" s="80">
        <f t="shared" si="370"/>
        <v>0</v>
      </c>
      <c r="U213" s="80">
        <v>0</v>
      </c>
      <c r="V213" s="80">
        <f t="shared" si="386"/>
        <v>0</v>
      </c>
      <c r="W213" s="80">
        <v>0</v>
      </c>
      <c r="X213" s="80">
        <f t="shared" si="387"/>
        <v>0</v>
      </c>
      <c r="Y213" s="80">
        <f t="shared" si="388"/>
        <v>0</v>
      </c>
      <c r="Z213" s="80">
        <f t="shared" si="371"/>
        <v>0</v>
      </c>
      <c r="AA213" s="81">
        <f t="shared" si="389"/>
        <v>0</v>
      </c>
      <c r="AB213" s="81">
        <f t="shared" si="372"/>
        <v>0</v>
      </c>
      <c r="AC213" s="81">
        <v>0</v>
      </c>
      <c r="AD213" s="81">
        <f t="shared" si="390"/>
        <v>0</v>
      </c>
      <c r="AE213" s="81">
        <v>0</v>
      </c>
      <c r="AF213" s="81">
        <f t="shared" si="391"/>
        <v>0</v>
      </c>
      <c r="AG213" s="81">
        <f t="shared" si="392"/>
        <v>0</v>
      </c>
      <c r="AH213" s="81">
        <f t="shared" si="373"/>
        <v>0</v>
      </c>
      <c r="AI213" s="82">
        <f t="shared" si="393"/>
        <v>0</v>
      </c>
      <c r="AJ213" s="82">
        <f t="shared" si="374"/>
        <v>0</v>
      </c>
      <c r="AK213" s="82">
        <v>0</v>
      </c>
      <c r="AL213" s="82">
        <f t="shared" si="394"/>
        <v>0</v>
      </c>
      <c r="AM213" s="82">
        <v>0</v>
      </c>
      <c r="AN213" s="82">
        <f t="shared" si="395"/>
        <v>0</v>
      </c>
      <c r="AO213" s="82">
        <f t="shared" si="396"/>
        <v>0</v>
      </c>
      <c r="AP213" s="82">
        <f t="shared" si="375"/>
        <v>0</v>
      </c>
      <c r="AQ213" s="83">
        <f t="shared" si="397"/>
        <v>0</v>
      </c>
      <c r="AR213" s="83">
        <f t="shared" si="376"/>
        <v>0</v>
      </c>
      <c r="AS213" s="83">
        <v>0</v>
      </c>
      <c r="AT213" s="83">
        <f t="shared" si="398"/>
        <v>0</v>
      </c>
      <c r="AU213" s="83">
        <v>0</v>
      </c>
      <c r="AV213" s="83">
        <f t="shared" si="399"/>
        <v>0</v>
      </c>
      <c r="AW213" s="83">
        <f t="shared" si="400"/>
        <v>0</v>
      </c>
      <c r="AX213" s="83">
        <f t="shared" si="377"/>
        <v>0</v>
      </c>
    </row>
    <row r="214" spans="1:50" x14ac:dyDescent="0.35">
      <c r="A214" s="91"/>
      <c r="B214" s="12" t="s">
        <v>27</v>
      </c>
      <c r="C214" s="85">
        <f>SUM(C197:C213)</f>
        <v>6573.8138817392428</v>
      </c>
      <c r="D214" s="93">
        <f t="shared" ref="D214:E214" si="401">SUM(D197:D213)</f>
        <v>6553.0545440712413</v>
      </c>
      <c r="E214" s="85">
        <f t="shared" si="401"/>
        <v>131.03022373299999</v>
      </c>
      <c r="F214" s="85">
        <v>131.01315751463468</v>
      </c>
      <c r="G214" s="85">
        <f t="shared" ref="G214:M214" si="402">SUM(G197:G213)</f>
        <v>5.2776778999999996</v>
      </c>
      <c r="H214" s="85">
        <f t="shared" si="402"/>
        <v>5.2776778999999996</v>
      </c>
      <c r="I214" s="85">
        <f t="shared" si="402"/>
        <v>6699.5664275722429</v>
      </c>
      <c r="J214" s="85">
        <f t="shared" si="402"/>
        <v>6678.7900236858768</v>
      </c>
      <c r="K214" s="86">
        <f t="shared" si="402"/>
        <v>6699.5664275722429</v>
      </c>
      <c r="L214" s="86">
        <f t="shared" si="402"/>
        <v>6678.7900236858768</v>
      </c>
      <c r="M214" s="86">
        <f t="shared" si="402"/>
        <v>2.6658971519999999</v>
      </c>
      <c r="N214" s="86">
        <v>2.66</v>
      </c>
      <c r="O214" s="86">
        <f t="shared" ref="O214:U214" si="403">SUM(O197:O213)</f>
        <v>0</v>
      </c>
      <c r="P214" s="86">
        <f t="shared" si="403"/>
        <v>0</v>
      </c>
      <c r="Q214" s="86">
        <f t="shared" si="403"/>
        <v>6702.2323247242421</v>
      </c>
      <c r="R214" s="86">
        <f t="shared" si="403"/>
        <v>6681.4500236858757</v>
      </c>
      <c r="S214" s="87">
        <f t="shared" si="403"/>
        <v>6702.2323247242421</v>
      </c>
      <c r="T214" s="87">
        <f t="shared" si="403"/>
        <v>6681.4500236858757</v>
      </c>
      <c r="U214" s="87">
        <f t="shared" si="403"/>
        <v>38.211119852000003</v>
      </c>
      <c r="V214" s="87">
        <v>38.21</v>
      </c>
      <c r="W214" s="87">
        <f t="shared" ref="W214:AC214" si="404">SUM(W197:W213)</f>
        <v>3.7917640000000001</v>
      </c>
      <c r="X214" s="87">
        <f t="shared" si="404"/>
        <v>3.7917640000000001</v>
      </c>
      <c r="Y214" s="87">
        <f t="shared" si="404"/>
        <v>6736.6516805762421</v>
      </c>
      <c r="Z214" s="87">
        <f t="shared" si="404"/>
        <v>6715.8682596858762</v>
      </c>
      <c r="AA214" s="88">
        <f t="shared" si="404"/>
        <v>6736.6516805762421</v>
      </c>
      <c r="AB214" s="88">
        <f t="shared" si="404"/>
        <v>6715.8682596858762</v>
      </c>
      <c r="AC214" s="88">
        <f t="shared" si="404"/>
        <v>18.62</v>
      </c>
      <c r="AD214" s="88">
        <v>18.87</v>
      </c>
      <c r="AE214" s="88">
        <f t="shared" ref="AE214:AK214" si="405">SUM(AE197:AE213)</f>
        <v>0</v>
      </c>
      <c r="AF214" s="88">
        <f t="shared" si="405"/>
        <v>0</v>
      </c>
      <c r="AG214" s="88">
        <f t="shared" si="405"/>
        <v>6755.2716805762411</v>
      </c>
      <c r="AH214" s="88">
        <f t="shared" si="405"/>
        <v>6734.738259685877</v>
      </c>
      <c r="AI214" s="89">
        <f t="shared" si="405"/>
        <v>6755.2716805762411</v>
      </c>
      <c r="AJ214" s="89">
        <f t="shared" si="405"/>
        <v>6734.738259685877</v>
      </c>
      <c r="AK214" s="89">
        <f t="shared" si="405"/>
        <v>71.13</v>
      </c>
      <c r="AL214" s="89">
        <v>7.8900000000000006</v>
      </c>
      <c r="AM214" s="89">
        <f t="shared" ref="AM214:AS214" si="406">SUM(AM197:AM213)</f>
        <v>0</v>
      </c>
      <c r="AN214" s="89">
        <f t="shared" si="406"/>
        <v>0</v>
      </c>
      <c r="AO214" s="89">
        <f t="shared" si="406"/>
        <v>6826.4016805762421</v>
      </c>
      <c r="AP214" s="89">
        <f t="shared" si="406"/>
        <v>6742.6282596858764</v>
      </c>
      <c r="AQ214" s="90">
        <f t="shared" si="406"/>
        <v>6826.4016805762421</v>
      </c>
      <c r="AR214" s="90">
        <f t="shared" si="406"/>
        <v>6742.6282596858764</v>
      </c>
      <c r="AS214" s="90">
        <f t="shared" si="406"/>
        <v>1058.1500000000001</v>
      </c>
      <c r="AT214" s="90">
        <v>481.48</v>
      </c>
      <c r="AU214" s="90">
        <f t="shared" ref="AU214:AX214" si="407">SUM(AU197:AU213)</f>
        <v>0</v>
      </c>
      <c r="AV214" s="90">
        <f t="shared" si="407"/>
        <v>0</v>
      </c>
      <c r="AW214" s="90">
        <f t="shared" si="407"/>
        <v>7884.5516805762418</v>
      </c>
      <c r="AX214" s="90">
        <f t="shared" si="407"/>
        <v>7224.108259685876</v>
      </c>
    </row>
    <row r="215" spans="1:50" s="77" customFormat="1" x14ac:dyDescent="0.35">
      <c r="A215" s="144"/>
      <c r="B215" s="70" t="s">
        <v>158</v>
      </c>
      <c r="C215" s="71"/>
      <c r="D215" s="71"/>
      <c r="E215" s="71"/>
      <c r="F215" s="71"/>
      <c r="G215" s="71"/>
      <c r="H215" s="71"/>
      <c r="I215" s="71"/>
      <c r="J215" s="71"/>
      <c r="K215" s="72"/>
      <c r="L215" s="72"/>
      <c r="M215" s="72"/>
      <c r="N215" s="72"/>
      <c r="O215" s="72"/>
      <c r="P215" s="72"/>
      <c r="Q215" s="72"/>
      <c r="R215" s="72"/>
      <c r="S215" s="73"/>
      <c r="T215" s="73"/>
      <c r="U215" s="73"/>
      <c r="V215" s="73"/>
      <c r="W215" s="73"/>
      <c r="X215" s="73"/>
      <c r="Y215" s="73"/>
      <c r="Z215" s="73"/>
      <c r="AA215" s="74"/>
      <c r="AB215" s="74"/>
      <c r="AC215" s="74"/>
      <c r="AD215" s="74"/>
      <c r="AE215" s="74"/>
      <c r="AF215" s="74"/>
      <c r="AG215" s="74"/>
      <c r="AH215" s="74"/>
      <c r="AI215" s="75"/>
      <c r="AJ215" s="75"/>
      <c r="AK215" s="75"/>
      <c r="AL215" s="75"/>
      <c r="AM215" s="75"/>
      <c r="AN215" s="75"/>
      <c r="AO215" s="75"/>
      <c r="AP215" s="75"/>
      <c r="AQ215" s="76"/>
      <c r="AR215" s="76"/>
      <c r="AS215" s="76"/>
      <c r="AT215" s="76"/>
      <c r="AU215" s="76"/>
      <c r="AV215" s="76"/>
      <c r="AW215" s="76"/>
      <c r="AX215" s="76"/>
    </row>
    <row r="216" spans="1:50" x14ac:dyDescent="0.35">
      <c r="B216" s="7" t="s">
        <v>133</v>
      </c>
      <c r="C216" s="78">
        <v>0</v>
      </c>
      <c r="D216" s="92">
        <v>0</v>
      </c>
      <c r="E216" s="78">
        <v>0</v>
      </c>
      <c r="F216" s="78">
        <f>IFERROR(E216/E$233*F$233,0)</f>
        <v>0</v>
      </c>
      <c r="G216" s="78">
        <v>0</v>
      </c>
      <c r="H216" s="78">
        <f>G216</f>
        <v>0</v>
      </c>
      <c r="I216" s="78">
        <f>C216+E216-G216</f>
        <v>0</v>
      </c>
      <c r="J216" s="78">
        <f t="shared" ref="J216:J232" si="408">D216+F216-H216</f>
        <v>0</v>
      </c>
      <c r="K216" s="79">
        <f>I216</f>
        <v>0</v>
      </c>
      <c r="L216" s="79">
        <f t="shared" ref="L216:L232" si="409">J216</f>
        <v>0</v>
      </c>
      <c r="M216" s="79">
        <v>0</v>
      </c>
      <c r="N216" s="79">
        <f>IFERROR(M216/M$233*N$233,0)</f>
        <v>0</v>
      </c>
      <c r="O216" s="79">
        <v>0</v>
      </c>
      <c r="P216" s="79">
        <f>O216</f>
        <v>0</v>
      </c>
      <c r="Q216" s="79">
        <f>K216+M216-O216</f>
        <v>0</v>
      </c>
      <c r="R216" s="79">
        <f t="shared" ref="R216:R232" si="410">L216+N216-P216</f>
        <v>0</v>
      </c>
      <c r="S216" s="80">
        <f>Q216</f>
        <v>0</v>
      </c>
      <c r="T216" s="80">
        <f t="shared" ref="T216:T232" si="411">R216</f>
        <v>0</v>
      </c>
      <c r="U216" s="80">
        <v>0</v>
      </c>
      <c r="V216" s="80">
        <f>IFERROR(U216/U$233*V$233,0)</f>
        <v>0</v>
      </c>
      <c r="W216" s="80">
        <v>0</v>
      </c>
      <c r="X216" s="80">
        <f>W216</f>
        <v>0</v>
      </c>
      <c r="Y216" s="80">
        <f>S216+U216-W216</f>
        <v>0</v>
      </c>
      <c r="Z216" s="80">
        <f t="shared" ref="Z216:Z232" si="412">T216+V216-X216</f>
        <v>0</v>
      </c>
      <c r="AA216" s="81">
        <f>Y216</f>
        <v>0</v>
      </c>
      <c r="AB216" s="81">
        <f t="shared" ref="AB216:AB232" si="413">Z216</f>
        <v>0</v>
      </c>
      <c r="AC216" s="81">
        <v>0</v>
      </c>
      <c r="AD216" s="81">
        <f>IFERROR(AC216/AC$233*AD$233,0)</f>
        <v>0</v>
      </c>
      <c r="AE216" s="81">
        <v>0</v>
      </c>
      <c r="AF216" s="81">
        <f>AE216</f>
        <v>0</v>
      </c>
      <c r="AG216" s="81">
        <f>AA216+AC216-AE216</f>
        <v>0</v>
      </c>
      <c r="AH216" s="81">
        <f t="shared" ref="AH216:AH232" si="414">AB216+AD216-AF216</f>
        <v>0</v>
      </c>
      <c r="AI216" s="82">
        <f>AG216</f>
        <v>0</v>
      </c>
      <c r="AJ216" s="82">
        <f t="shared" ref="AJ216:AJ232" si="415">AH216</f>
        <v>0</v>
      </c>
      <c r="AK216" s="82">
        <v>0</v>
      </c>
      <c r="AL216" s="82">
        <f>IFERROR(AK216/AK$233*AL$233,0)</f>
        <v>0</v>
      </c>
      <c r="AM216" s="82">
        <v>0</v>
      </c>
      <c r="AN216" s="82">
        <f>AM216</f>
        <v>0</v>
      </c>
      <c r="AO216" s="82">
        <f>AI216+AK216-AM216</f>
        <v>0</v>
      </c>
      <c r="AP216" s="82">
        <f t="shared" ref="AP216:AP232" si="416">AJ216+AL216-AN216</f>
        <v>0</v>
      </c>
      <c r="AQ216" s="83">
        <f>AO216</f>
        <v>0</v>
      </c>
      <c r="AR216" s="83">
        <f t="shared" ref="AR216:AR232" si="417">AP216</f>
        <v>0</v>
      </c>
      <c r="AS216" s="83">
        <v>0</v>
      </c>
      <c r="AT216" s="83">
        <f>IFERROR(AS216/AS$233*AT$233,0)</f>
        <v>0</v>
      </c>
      <c r="AU216" s="83">
        <v>0</v>
      </c>
      <c r="AV216" s="83">
        <f>AU216</f>
        <v>0</v>
      </c>
      <c r="AW216" s="83">
        <f>AQ216+AS216-AU216</f>
        <v>0</v>
      </c>
      <c r="AX216" s="83">
        <f t="shared" ref="AX216:AX232" si="418">AR216+AT216-AV216</f>
        <v>0</v>
      </c>
    </row>
    <row r="217" spans="1:50" x14ac:dyDescent="0.35">
      <c r="B217" s="7" t="s">
        <v>134</v>
      </c>
      <c r="C217" s="78">
        <v>195.64393852365731</v>
      </c>
      <c r="D217" s="92">
        <v>195.64393852365731</v>
      </c>
      <c r="E217" s="78">
        <v>7.2312846870000005</v>
      </c>
      <c r="F217" s="78">
        <f t="shared" ref="F217:F232" si="419">IFERROR(E217/E$233*F$233,0)</f>
        <v>7.231346923564959</v>
      </c>
      <c r="G217" s="78">
        <v>0</v>
      </c>
      <c r="H217" s="78">
        <f t="shared" ref="H217:H232" si="420">G217</f>
        <v>0</v>
      </c>
      <c r="I217" s="78">
        <f t="shared" ref="I217:I232" si="421">C217+E217-G217</f>
        <v>202.87522321065731</v>
      </c>
      <c r="J217" s="78">
        <f t="shared" si="408"/>
        <v>202.87528544722227</v>
      </c>
      <c r="K217" s="79">
        <f t="shared" ref="K217:K232" si="422">I217</f>
        <v>202.87522321065731</v>
      </c>
      <c r="L217" s="79">
        <f t="shared" si="409"/>
        <v>202.87528544722227</v>
      </c>
      <c r="M217" s="79">
        <v>5.8645425370000002</v>
      </c>
      <c r="N217" s="79">
        <f t="shared" ref="N217:N232" si="423">IFERROR(M217/M$233*N$233,0)</f>
        <v>5.8647666290540466</v>
      </c>
      <c r="O217" s="79">
        <v>0</v>
      </c>
      <c r="P217" s="79">
        <f t="shared" ref="P217:P232" si="424">O217</f>
        <v>0</v>
      </c>
      <c r="Q217" s="79">
        <f t="shared" ref="Q217:Q232" si="425">K217+M217-O217</f>
        <v>208.73976574765732</v>
      </c>
      <c r="R217" s="79">
        <f t="shared" si="410"/>
        <v>208.74005207627633</v>
      </c>
      <c r="S217" s="80">
        <f t="shared" ref="S217:S232" si="426">Q217</f>
        <v>208.73976574765732</v>
      </c>
      <c r="T217" s="80">
        <f t="shared" si="411"/>
        <v>208.74005207627633</v>
      </c>
      <c r="U217" s="80">
        <v>1.2379265380000002</v>
      </c>
      <c r="V217" s="80">
        <f t="shared" ref="V217:V232" si="427">IFERROR(U217/U$233*V$233,0)</f>
        <v>1.2378835457709945</v>
      </c>
      <c r="W217" s="80">
        <v>0</v>
      </c>
      <c r="X217" s="80">
        <f t="shared" ref="X217:X232" si="428">W217</f>
        <v>0</v>
      </c>
      <c r="Y217" s="80">
        <f t="shared" ref="Y217:Y232" si="429">S217+U217-W217</f>
        <v>209.97769228565733</v>
      </c>
      <c r="Z217" s="80">
        <f t="shared" si="412"/>
        <v>209.97793562204731</v>
      </c>
      <c r="AA217" s="81">
        <f t="shared" ref="AA217:AA232" si="430">Y217</f>
        <v>209.97769228565733</v>
      </c>
      <c r="AB217" s="81">
        <f t="shared" si="413"/>
        <v>209.97793562204731</v>
      </c>
      <c r="AC217" s="81">
        <v>0</v>
      </c>
      <c r="AD217" s="81">
        <f t="shared" ref="AD217:AD232" si="431">IFERROR(AC217/AC$233*AD$233,0)</f>
        <v>0</v>
      </c>
      <c r="AE217" s="81">
        <v>0</v>
      </c>
      <c r="AF217" s="81">
        <f t="shared" ref="AF217:AF232" si="432">AE217</f>
        <v>0</v>
      </c>
      <c r="AG217" s="81">
        <f t="shared" ref="AG217:AG232" si="433">AA217+AC217-AE217</f>
        <v>209.97769228565733</v>
      </c>
      <c r="AH217" s="81">
        <f t="shared" si="414"/>
        <v>209.97793562204731</v>
      </c>
      <c r="AI217" s="82">
        <f t="shared" ref="AI217:AI232" si="434">AG217</f>
        <v>209.97769228565733</v>
      </c>
      <c r="AJ217" s="82">
        <f t="shared" si="415"/>
        <v>209.97793562204731</v>
      </c>
      <c r="AK217" s="82">
        <v>0</v>
      </c>
      <c r="AL217" s="82">
        <f t="shared" ref="AL217:AL232" si="435">IFERROR(AK217/AK$233*AL$233,0)</f>
        <v>0</v>
      </c>
      <c r="AM217" s="82">
        <v>0</v>
      </c>
      <c r="AN217" s="82">
        <f t="shared" ref="AN217:AN232" si="436">AM217</f>
        <v>0</v>
      </c>
      <c r="AO217" s="82">
        <f t="shared" ref="AO217:AO232" si="437">AI217+AK217-AM217</f>
        <v>209.97769228565733</v>
      </c>
      <c r="AP217" s="82">
        <f t="shared" si="416"/>
        <v>209.97793562204731</v>
      </c>
      <c r="AQ217" s="83">
        <f t="shared" ref="AQ217:AQ232" si="438">AO217</f>
        <v>209.97769228565733</v>
      </c>
      <c r="AR217" s="83">
        <f t="shared" si="417"/>
        <v>209.97793562204731</v>
      </c>
      <c r="AS217" s="83">
        <v>0</v>
      </c>
      <c r="AT217" s="83">
        <f t="shared" ref="AT217:AT232" si="439">IFERROR(AS217/AS$233*AT$233,0)</f>
        <v>0</v>
      </c>
      <c r="AU217" s="83">
        <v>0</v>
      </c>
      <c r="AV217" s="83">
        <f t="shared" ref="AV217:AV232" si="440">AU217</f>
        <v>0</v>
      </c>
      <c r="AW217" s="83">
        <f t="shared" ref="AW217:AW232" si="441">AQ217+AS217-AU217</f>
        <v>209.97769228565733</v>
      </c>
      <c r="AX217" s="83">
        <f t="shared" si="418"/>
        <v>209.97793562204731</v>
      </c>
    </row>
    <row r="218" spans="1:50" ht="31" x14ac:dyDescent="0.35">
      <c r="B218" s="84" t="s">
        <v>135</v>
      </c>
      <c r="C218" s="78">
        <v>0</v>
      </c>
      <c r="D218" s="92">
        <v>0</v>
      </c>
      <c r="E218" s="78">
        <v>0</v>
      </c>
      <c r="F218" s="78">
        <f t="shared" si="419"/>
        <v>0</v>
      </c>
      <c r="G218" s="78">
        <v>0</v>
      </c>
      <c r="H218" s="78">
        <f t="shared" si="420"/>
        <v>0</v>
      </c>
      <c r="I218" s="78">
        <f t="shared" si="421"/>
        <v>0</v>
      </c>
      <c r="J218" s="78">
        <f t="shared" si="408"/>
        <v>0</v>
      </c>
      <c r="K218" s="79">
        <f t="shared" si="422"/>
        <v>0</v>
      </c>
      <c r="L218" s="79">
        <f t="shared" si="409"/>
        <v>0</v>
      </c>
      <c r="M218" s="79">
        <v>0</v>
      </c>
      <c r="N218" s="79">
        <f t="shared" si="423"/>
        <v>0</v>
      </c>
      <c r="O218" s="79">
        <v>0</v>
      </c>
      <c r="P218" s="79">
        <f t="shared" si="424"/>
        <v>0</v>
      </c>
      <c r="Q218" s="79">
        <f t="shared" si="425"/>
        <v>0</v>
      </c>
      <c r="R218" s="79">
        <f t="shared" si="410"/>
        <v>0</v>
      </c>
      <c r="S218" s="80">
        <f t="shared" si="426"/>
        <v>0</v>
      </c>
      <c r="T218" s="80">
        <f t="shared" si="411"/>
        <v>0</v>
      </c>
      <c r="U218" s="80">
        <v>0</v>
      </c>
      <c r="V218" s="80">
        <f t="shared" si="427"/>
        <v>0</v>
      </c>
      <c r="W218" s="80">
        <v>0</v>
      </c>
      <c r="X218" s="80">
        <f t="shared" si="428"/>
        <v>0</v>
      </c>
      <c r="Y218" s="80">
        <f t="shared" si="429"/>
        <v>0</v>
      </c>
      <c r="Z218" s="80">
        <f t="shared" si="412"/>
        <v>0</v>
      </c>
      <c r="AA218" s="81">
        <f t="shared" si="430"/>
        <v>0</v>
      </c>
      <c r="AB218" s="81">
        <f t="shared" si="413"/>
        <v>0</v>
      </c>
      <c r="AC218" s="81">
        <v>0</v>
      </c>
      <c r="AD218" s="81">
        <f t="shared" si="431"/>
        <v>0</v>
      </c>
      <c r="AE218" s="81">
        <v>0</v>
      </c>
      <c r="AF218" s="81">
        <f t="shared" si="432"/>
        <v>0</v>
      </c>
      <c r="AG218" s="81">
        <f t="shared" si="433"/>
        <v>0</v>
      </c>
      <c r="AH218" s="81">
        <f t="shared" si="414"/>
        <v>0</v>
      </c>
      <c r="AI218" s="82">
        <f t="shared" si="434"/>
        <v>0</v>
      </c>
      <c r="AJ218" s="82">
        <f t="shared" si="415"/>
        <v>0</v>
      </c>
      <c r="AK218" s="82">
        <v>0</v>
      </c>
      <c r="AL218" s="82">
        <f t="shared" si="435"/>
        <v>0</v>
      </c>
      <c r="AM218" s="82">
        <v>0</v>
      </c>
      <c r="AN218" s="82">
        <f t="shared" si="436"/>
        <v>0</v>
      </c>
      <c r="AO218" s="82">
        <f t="shared" si="437"/>
        <v>0</v>
      </c>
      <c r="AP218" s="82">
        <f t="shared" si="416"/>
        <v>0</v>
      </c>
      <c r="AQ218" s="83">
        <f t="shared" si="438"/>
        <v>0</v>
      </c>
      <c r="AR218" s="83">
        <f t="shared" si="417"/>
        <v>0</v>
      </c>
      <c r="AS218" s="83">
        <v>0</v>
      </c>
      <c r="AT218" s="83">
        <f t="shared" si="439"/>
        <v>0</v>
      </c>
      <c r="AU218" s="83">
        <v>0</v>
      </c>
      <c r="AV218" s="83">
        <f t="shared" si="440"/>
        <v>0</v>
      </c>
      <c r="AW218" s="83">
        <f t="shared" si="441"/>
        <v>0</v>
      </c>
      <c r="AX218" s="83">
        <f t="shared" si="418"/>
        <v>0</v>
      </c>
    </row>
    <row r="219" spans="1:50" x14ac:dyDescent="0.35">
      <c r="B219" s="7" t="s">
        <v>136</v>
      </c>
      <c r="C219" s="78">
        <v>542.64183945364368</v>
      </c>
      <c r="D219" s="92">
        <v>542.64183945364368</v>
      </c>
      <c r="E219" s="78">
        <v>2.1091598060000001</v>
      </c>
      <c r="F219" s="78">
        <f t="shared" si="419"/>
        <v>2.1091779586335857</v>
      </c>
      <c r="G219" s="78">
        <v>0</v>
      </c>
      <c r="H219" s="78">
        <f t="shared" si="420"/>
        <v>0</v>
      </c>
      <c r="I219" s="78">
        <f t="shared" si="421"/>
        <v>544.75099925964366</v>
      </c>
      <c r="J219" s="78">
        <f t="shared" si="408"/>
        <v>544.75101741227729</v>
      </c>
      <c r="K219" s="79">
        <f t="shared" si="422"/>
        <v>544.75099925964366</v>
      </c>
      <c r="L219" s="79">
        <f t="shared" si="409"/>
        <v>544.75101741227729</v>
      </c>
      <c r="M219" s="79">
        <v>3.2214389649999999</v>
      </c>
      <c r="N219" s="79">
        <f t="shared" si="423"/>
        <v>3.2215620605134347</v>
      </c>
      <c r="O219" s="79">
        <v>0</v>
      </c>
      <c r="P219" s="79">
        <f t="shared" si="424"/>
        <v>0</v>
      </c>
      <c r="Q219" s="79">
        <f t="shared" si="425"/>
        <v>547.97243822464361</v>
      </c>
      <c r="R219" s="79">
        <f t="shared" si="410"/>
        <v>547.9725794727907</v>
      </c>
      <c r="S219" s="80">
        <f t="shared" si="426"/>
        <v>547.97243822464361</v>
      </c>
      <c r="T219" s="80">
        <f t="shared" si="411"/>
        <v>547.9725794727907</v>
      </c>
      <c r="U219" s="80">
        <v>12.192905319999999</v>
      </c>
      <c r="V219" s="80">
        <f t="shared" si="427"/>
        <v>12.192481869850356</v>
      </c>
      <c r="W219" s="80">
        <v>0</v>
      </c>
      <c r="X219" s="80">
        <f t="shared" si="428"/>
        <v>0</v>
      </c>
      <c r="Y219" s="80">
        <f t="shared" si="429"/>
        <v>560.16534354464363</v>
      </c>
      <c r="Z219" s="80">
        <f t="shared" si="412"/>
        <v>560.16506134264102</v>
      </c>
      <c r="AA219" s="81">
        <f t="shared" si="430"/>
        <v>560.16534354464363</v>
      </c>
      <c r="AB219" s="81">
        <f t="shared" si="413"/>
        <v>560.16506134264102</v>
      </c>
      <c r="AC219" s="81">
        <v>0</v>
      </c>
      <c r="AD219" s="81">
        <f t="shared" si="431"/>
        <v>0</v>
      </c>
      <c r="AE219" s="81">
        <v>0</v>
      </c>
      <c r="AF219" s="81">
        <f t="shared" si="432"/>
        <v>0</v>
      </c>
      <c r="AG219" s="81">
        <f t="shared" si="433"/>
        <v>560.16534354464363</v>
      </c>
      <c r="AH219" s="81">
        <f t="shared" si="414"/>
        <v>560.16506134264102</v>
      </c>
      <c r="AI219" s="82">
        <f t="shared" si="434"/>
        <v>560.16534354464363</v>
      </c>
      <c r="AJ219" s="82">
        <f t="shared" si="415"/>
        <v>560.16506134264102</v>
      </c>
      <c r="AK219" s="82">
        <v>0</v>
      </c>
      <c r="AL219" s="82">
        <f t="shared" si="435"/>
        <v>0</v>
      </c>
      <c r="AM219" s="82">
        <v>0</v>
      </c>
      <c r="AN219" s="82">
        <f t="shared" si="436"/>
        <v>0</v>
      </c>
      <c r="AO219" s="82">
        <f t="shared" si="437"/>
        <v>560.16534354464363</v>
      </c>
      <c r="AP219" s="82">
        <f t="shared" si="416"/>
        <v>560.16506134264102</v>
      </c>
      <c r="AQ219" s="83">
        <f t="shared" si="438"/>
        <v>560.16534354464363</v>
      </c>
      <c r="AR219" s="83">
        <f t="shared" si="417"/>
        <v>560.16506134264102</v>
      </c>
      <c r="AS219" s="83">
        <v>0</v>
      </c>
      <c r="AT219" s="83">
        <f t="shared" si="439"/>
        <v>0</v>
      </c>
      <c r="AU219" s="83">
        <v>0</v>
      </c>
      <c r="AV219" s="83">
        <f t="shared" si="440"/>
        <v>0</v>
      </c>
      <c r="AW219" s="83">
        <f t="shared" si="441"/>
        <v>560.16534354464363</v>
      </c>
      <c r="AX219" s="83">
        <f t="shared" si="418"/>
        <v>560.16506134264102</v>
      </c>
    </row>
    <row r="220" spans="1:50" x14ac:dyDescent="0.35">
      <c r="B220" s="7" t="s">
        <v>137</v>
      </c>
      <c r="C220" s="78">
        <v>186.41755051093304</v>
      </c>
      <c r="D220" s="92">
        <v>186.41755051093304</v>
      </c>
      <c r="E220" s="78">
        <v>29.600916690999998</v>
      </c>
      <c r="F220" s="78">
        <f t="shared" si="419"/>
        <v>29.601171453390673</v>
      </c>
      <c r="G220" s="78">
        <v>0</v>
      </c>
      <c r="H220" s="78">
        <f t="shared" si="420"/>
        <v>0</v>
      </c>
      <c r="I220" s="78">
        <f t="shared" si="421"/>
        <v>216.01846720193305</v>
      </c>
      <c r="J220" s="78">
        <f t="shared" si="408"/>
        <v>216.0187219643237</v>
      </c>
      <c r="K220" s="79">
        <f t="shared" si="422"/>
        <v>216.01846720193305</v>
      </c>
      <c r="L220" s="79">
        <f t="shared" si="409"/>
        <v>216.0187219643237</v>
      </c>
      <c r="M220" s="79">
        <v>79.713353064000003</v>
      </c>
      <c r="N220" s="79">
        <f t="shared" si="423"/>
        <v>79.716399018379278</v>
      </c>
      <c r="O220" s="79">
        <v>0</v>
      </c>
      <c r="P220" s="79">
        <f t="shared" si="424"/>
        <v>0</v>
      </c>
      <c r="Q220" s="79">
        <f t="shared" si="425"/>
        <v>295.73182026593304</v>
      </c>
      <c r="R220" s="79">
        <f t="shared" si="410"/>
        <v>295.73512098270299</v>
      </c>
      <c r="S220" s="80">
        <f t="shared" si="426"/>
        <v>295.73182026593304</v>
      </c>
      <c r="T220" s="80">
        <f t="shared" si="411"/>
        <v>295.73512098270299</v>
      </c>
      <c r="U220" s="80">
        <v>11.915167047000001</v>
      </c>
      <c r="V220" s="80">
        <f t="shared" si="427"/>
        <v>11.914753242485272</v>
      </c>
      <c r="W220" s="80">
        <v>0</v>
      </c>
      <c r="X220" s="80">
        <f t="shared" si="428"/>
        <v>0</v>
      </c>
      <c r="Y220" s="80">
        <f t="shared" si="429"/>
        <v>307.64698731293305</v>
      </c>
      <c r="Z220" s="80">
        <f t="shared" si="412"/>
        <v>307.64987422518828</v>
      </c>
      <c r="AA220" s="81">
        <f t="shared" si="430"/>
        <v>307.64698731293305</v>
      </c>
      <c r="AB220" s="81">
        <f t="shared" si="413"/>
        <v>307.64987422518828</v>
      </c>
      <c r="AC220" s="81">
        <v>0</v>
      </c>
      <c r="AD220" s="81">
        <f t="shared" si="431"/>
        <v>0</v>
      </c>
      <c r="AE220" s="81">
        <v>0</v>
      </c>
      <c r="AF220" s="81">
        <f t="shared" si="432"/>
        <v>0</v>
      </c>
      <c r="AG220" s="81">
        <f t="shared" si="433"/>
        <v>307.64698731293305</v>
      </c>
      <c r="AH220" s="81">
        <f t="shared" si="414"/>
        <v>307.64987422518828</v>
      </c>
      <c r="AI220" s="82">
        <f t="shared" si="434"/>
        <v>307.64698731293305</v>
      </c>
      <c r="AJ220" s="82">
        <f t="shared" si="415"/>
        <v>307.64987422518828</v>
      </c>
      <c r="AK220" s="82">
        <v>0</v>
      </c>
      <c r="AL220" s="82">
        <f t="shared" si="435"/>
        <v>0</v>
      </c>
      <c r="AM220" s="82">
        <v>0</v>
      </c>
      <c r="AN220" s="82">
        <f t="shared" si="436"/>
        <v>0</v>
      </c>
      <c r="AO220" s="82">
        <f t="shared" si="437"/>
        <v>307.64698731293305</v>
      </c>
      <c r="AP220" s="82">
        <f t="shared" si="416"/>
        <v>307.64987422518828</v>
      </c>
      <c r="AQ220" s="83">
        <f t="shared" si="438"/>
        <v>307.64698731293305</v>
      </c>
      <c r="AR220" s="83">
        <f t="shared" si="417"/>
        <v>307.64987422518828</v>
      </c>
      <c r="AS220" s="83">
        <v>0</v>
      </c>
      <c r="AT220" s="83">
        <f t="shared" si="439"/>
        <v>0</v>
      </c>
      <c r="AU220" s="83">
        <v>0</v>
      </c>
      <c r="AV220" s="83">
        <f t="shared" si="440"/>
        <v>0</v>
      </c>
      <c r="AW220" s="83">
        <f t="shared" si="441"/>
        <v>307.64698731293305</v>
      </c>
      <c r="AX220" s="83">
        <f t="shared" si="418"/>
        <v>307.64987422518828</v>
      </c>
    </row>
    <row r="221" spans="1:50" x14ac:dyDescent="0.35">
      <c r="B221" s="7" t="s">
        <v>138</v>
      </c>
      <c r="C221" s="78">
        <v>11622.646789384018</v>
      </c>
      <c r="D221" s="92">
        <v>11488.719498426099</v>
      </c>
      <c r="E221" s="78">
        <v>173.50817632899998</v>
      </c>
      <c r="F221" s="78">
        <f t="shared" si="419"/>
        <v>173.50966963943574</v>
      </c>
      <c r="G221" s="78">
        <v>0</v>
      </c>
      <c r="H221" s="78">
        <f t="shared" si="420"/>
        <v>0</v>
      </c>
      <c r="I221" s="78">
        <f t="shared" si="421"/>
        <v>11796.154965713018</v>
      </c>
      <c r="J221" s="78">
        <f t="shared" si="408"/>
        <v>11662.229168065534</v>
      </c>
      <c r="K221" s="79">
        <f t="shared" si="422"/>
        <v>11796.154965713018</v>
      </c>
      <c r="L221" s="79">
        <f t="shared" si="409"/>
        <v>11662.229168065534</v>
      </c>
      <c r="M221" s="79">
        <v>119.1493851935</v>
      </c>
      <c r="N221" s="79">
        <f t="shared" si="423"/>
        <v>119.15393805168081</v>
      </c>
      <c r="O221" s="79">
        <v>0</v>
      </c>
      <c r="P221" s="79">
        <f t="shared" si="424"/>
        <v>0</v>
      </c>
      <c r="Q221" s="79">
        <f t="shared" si="425"/>
        <v>11915.304350906517</v>
      </c>
      <c r="R221" s="79">
        <f t="shared" si="410"/>
        <v>11781.383106117215</v>
      </c>
      <c r="S221" s="80">
        <f t="shared" si="426"/>
        <v>11915.304350906517</v>
      </c>
      <c r="T221" s="80">
        <f t="shared" si="411"/>
        <v>11781.383106117215</v>
      </c>
      <c r="U221" s="80">
        <v>218.79863080000001</v>
      </c>
      <c r="V221" s="80">
        <f t="shared" si="427"/>
        <v>218.79103209316824</v>
      </c>
      <c r="W221" s="80">
        <v>0</v>
      </c>
      <c r="X221" s="80">
        <f t="shared" si="428"/>
        <v>0</v>
      </c>
      <c r="Y221" s="80">
        <f t="shared" si="429"/>
        <v>12134.102981706517</v>
      </c>
      <c r="Z221" s="80">
        <f t="shared" si="412"/>
        <v>12000.174138210383</v>
      </c>
      <c r="AA221" s="81">
        <f t="shared" si="430"/>
        <v>12134.102981706517</v>
      </c>
      <c r="AB221" s="81">
        <f t="shared" si="413"/>
        <v>12000.174138210383</v>
      </c>
      <c r="AC221" s="81">
        <v>350.01</v>
      </c>
      <c r="AD221" s="81">
        <f t="shared" si="431"/>
        <v>306.92</v>
      </c>
      <c r="AE221" s="81">
        <v>0</v>
      </c>
      <c r="AF221" s="81">
        <f t="shared" si="432"/>
        <v>0</v>
      </c>
      <c r="AG221" s="81">
        <f t="shared" si="433"/>
        <v>12484.112981706518</v>
      </c>
      <c r="AH221" s="81">
        <f t="shared" si="414"/>
        <v>12307.094138210383</v>
      </c>
      <c r="AI221" s="82">
        <f t="shared" si="434"/>
        <v>12484.112981706518</v>
      </c>
      <c r="AJ221" s="82">
        <f t="shared" si="415"/>
        <v>12307.094138210383</v>
      </c>
      <c r="AK221" s="82">
        <v>177.32</v>
      </c>
      <c r="AL221" s="82">
        <f t="shared" si="435"/>
        <v>41.59</v>
      </c>
      <c r="AM221" s="82">
        <v>0</v>
      </c>
      <c r="AN221" s="82">
        <f t="shared" si="436"/>
        <v>0</v>
      </c>
      <c r="AO221" s="82">
        <f t="shared" si="437"/>
        <v>12661.432981706517</v>
      </c>
      <c r="AP221" s="82">
        <f t="shared" si="416"/>
        <v>12348.684138210383</v>
      </c>
      <c r="AQ221" s="83">
        <f t="shared" si="438"/>
        <v>12661.432981706517</v>
      </c>
      <c r="AR221" s="83">
        <f t="shared" si="417"/>
        <v>12348.684138210383</v>
      </c>
      <c r="AS221" s="83">
        <v>2110.13</v>
      </c>
      <c r="AT221" s="83">
        <f t="shared" si="439"/>
        <v>997.00000000000011</v>
      </c>
      <c r="AU221" s="83">
        <v>0</v>
      </c>
      <c r="AV221" s="83">
        <f t="shared" si="440"/>
        <v>0</v>
      </c>
      <c r="AW221" s="83">
        <f t="shared" si="441"/>
        <v>14771.562981706516</v>
      </c>
      <c r="AX221" s="83">
        <f t="shared" si="418"/>
        <v>13345.684138210383</v>
      </c>
    </row>
    <row r="222" spans="1:50" x14ac:dyDescent="0.35">
      <c r="B222" s="7" t="s">
        <v>139</v>
      </c>
      <c r="C222" s="78">
        <v>0</v>
      </c>
      <c r="D222" s="92">
        <v>0</v>
      </c>
      <c r="E222" s="78">
        <v>0</v>
      </c>
      <c r="F222" s="78">
        <f t="shared" si="419"/>
        <v>0</v>
      </c>
      <c r="G222" s="78">
        <v>0</v>
      </c>
      <c r="H222" s="78">
        <f t="shared" si="420"/>
        <v>0</v>
      </c>
      <c r="I222" s="78">
        <f t="shared" si="421"/>
        <v>0</v>
      </c>
      <c r="J222" s="78">
        <f t="shared" si="408"/>
        <v>0</v>
      </c>
      <c r="K222" s="79">
        <f t="shared" si="422"/>
        <v>0</v>
      </c>
      <c r="L222" s="79">
        <f t="shared" si="409"/>
        <v>0</v>
      </c>
      <c r="M222" s="79">
        <v>0</v>
      </c>
      <c r="N222" s="79">
        <f t="shared" si="423"/>
        <v>0</v>
      </c>
      <c r="O222" s="79">
        <v>0</v>
      </c>
      <c r="P222" s="79">
        <f t="shared" si="424"/>
        <v>0</v>
      </c>
      <c r="Q222" s="79">
        <f t="shared" si="425"/>
        <v>0</v>
      </c>
      <c r="R222" s="79">
        <f t="shared" si="410"/>
        <v>0</v>
      </c>
      <c r="S222" s="80">
        <f t="shared" si="426"/>
        <v>0</v>
      </c>
      <c r="T222" s="80">
        <f t="shared" si="411"/>
        <v>0</v>
      </c>
      <c r="U222" s="80">
        <v>0</v>
      </c>
      <c r="V222" s="80">
        <f t="shared" si="427"/>
        <v>0</v>
      </c>
      <c r="W222" s="80">
        <v>0</v>
      </c>
      <c r="X222" s="80">
        <f t="shared" si="428"/>
        <v>0</v>
      </c>
      <c r="Y222" s="80">
        <f t="shared" si="429"/>
        <v>0</v>
      </c>
      <c r="Z222" s="80">
        <f t="shared" si="412"/>
        <v>0</v>
      </c>
      <c r="AA222" s="81">
        <f t="shared" si="430"/>
        <v>0</v>
      </c>
      <c r="AB222" s="81">
        <f t="shared" si="413"/>
        <v>0</v>
      </c>
      <c r="AC222" s="81">
        <v>0</v>
      </c>
      <c r="AD222" s="81">
        <f t="shared" si="431"/>
        <v>0</v>
      </c>
      <c r="AE222" s="81">
        <v>0</v>
      </c>
      <c r="AF222" s="81">
        <f t="shared" si="432"/>
        <v>0</v>
      </c>
      <c r="AG222" s="81">
        <f t="shared" si="433"/>
        <v>0</v>
      </c>
      <c r="AH222" s="81">
        <f t="shared" si="414"/>
        <v>0</v>
      </c>
      <c r="AI222" s="82">
        <f t="shared" si="434"/>
        <v>0</v>
      </c>
      <c r="AJ222" s="82">
        <f t="shared" si="415"/>
        <v>0</v>
      </c>
      <c r="AK222" s="82">
        <v>0</v>
      </c>
      <c r="AL222" s="82">
        <f t="shared" si="435"/>
        <v>0</v>
      </c>
      <c r="AM222" s="82">
        <v>0</v>
      </c>
      <c r="AN222" s="82">
        <f t="shared" si="436"/>
        <v>0</v>
      </c>
      <c r="AO222" s="82">
        <f t="shared" si="437"/>
        <v>0</v>
      </c>
      <c r="AP222" s="82">
        <f t="shared" si="416"/>
        <v>0</v>
      </c>
      <c r="AQ222" s="83">
        <f t="shared" si="438"/>
        <v>0</v>
      </c>
      <c r="AR222" s="83">
        <f t="shared" si="417"/>
        <v>0</v>
      </c>
      <c r="AS222" s="83">
        <v>0</v>
      </c>
      <c r="AT222" s="83">
        <f t="shared" si="439"/>
        <v>0</v>
      </c>
      <c r="AU222" s="83">
        <v>0</v>
      </c>
      <c r="AV222" s="83">
        <f t="shared" si="440"/>
        <v>0</v>
      </c>
      <c r="AW222" s="83">
        <f t="shared" si="441"/>
        <v>0</v>
      </c>
      <c r="AX222" s="83">
        <f t="shared" si="418"/>
        <v>0</v>
      </c>
    </row>
    <row r="223" spans="1:50" x14ac:dyDescent="0.35">
      <c r="B223" s="7" t="s">
        <v>140</v>
      </c>
      <c r="C223" s="78">
        <v>0</v>
      </c>
      <c r="D223" s="92">
        <v>0</v>
      </c>
      <c r="E223" s="78">
        <v>0</v>
      </c>
      <c r="F223" s="78">
        <f t="shared" si="419"/>
        <v>0</v>
      </c>
      <c r="G223" s="78">
        <v>0</v>
      </c>
      <c r="H223" s="78">
        <f t="shared" si="420"/>
        <v>0</v>
      </c>
      <c r="I223" s="78">
        <f t="shared" si="421"/>
        <v>0</v>
      </c>
      <c r="J223" s="78">
        <f t="shared" si="408"/>
        <v>0</v>
      </c>
      <c r="K223" s="79">
        <f t="shared" si="422"/>
        <v>0</v>
      </c>
      <c r="L223" s="79">
        <f t="shared" si="409"/>
        <v>0</v>
      </c>
      <c r="M223" s="79">
        <v>0</v>
      </c>
      <c r="N223" s="79">
        <f t="shared" si="423"/>
        <v>0</v>
      </c>
      <c r="O223" s="79">
        <v>0</v>
      </c>
      <c r="P223" s="79">
        <f t="shared" si="424"/>
        <v>0</v>
      </c>
      <c r="Q223" s="79">
        <f t="shared" si="425"/>
        <v>0</v>
      </c>
      <c r="R223" s="79">
        <f t="shared" si="410"/>
        <v>0</v>
      </c>
      <c r="S223" s="80">
        <f t="shared" si="426"/>
        <v>0</v>
      </c>
      <c r="T223" s="80">
        <f t="shared" si="411"/>
        <v>0</v>
      </c>
      <c r="U223" s="80">
        <v>0</v>
      </c>
      <c r="V223" s="80">
        <f t="shared" si="427"/>
        <v>0</v>
      </c>
      <c r="W223" s="80">
        <v>0</v>
      </c>
      <c r="X223" s="80">
        <f t="shared" si="428"/>
        <v>0</v>
      </c>
      <c r="Y223" s="80">
        <f t="shared" si="429"/>
        <v>0</v>
      </c>
      <c r="Z223" s="80">
        <f t="shared" si="412"/>
        <v>0</v>
      </c>
      <c r="AA223" s="81">
        <f t="shared" si="430"/>
        <v>0</v>
      </c>
      <c r="AB223" s="81">
        <f t="shared" si="413"/>
        <v>0</v>
      </c>
      <c r="AC223" s="81">
        <v>0</v>
      </c>
      <c r="AD223" s="81">
        <f t="shared" si="431"/>
        <v>0</v>
      </c>
      <c r="AE223" s="81">
        <v>0</v>
      </c>
      <c r="AF223" s="81">
        <f t="shared" si="432"/>
        <v>0</v>
      </c>
      <c r="AG223" s="81">
        <f t="shared" si="433"/>
        <v>0</v>
      </c>
      <c r="AH223" s="81">
        <f t="shared" si="414"/>
        <v>0</v>
      </c>
      <c r="AI223" s="82">
        <f t="shared" si="434"/>
        <v>0</v>
      </c>
      <c r="AJ223" s="82">
        <f t="shared" si="415"/>
        <v>0</v>
      </c>
      <c r="AK223" s="82">
        <v>0</v>
      </c>
      <c r="AL223" s="82">
        <f t="shared" si="435"/>
        <v>0</v>
      </c>
      <c r="AM223" s="82">
        <v>0</v>
      </c>
      <c r="AN223" s="82">
        <f t="shared" si="436"/>
        <v>0</v>
      </c>
      <c r="AO223" s="82">
        <f t="shared" si="437"/>
        <v>0</v>
      </c>
      <c r="AP223" s="82">
        <f t="shared" si="416"/>
        <v>0</v>
      </c>
      <c r="AQ223" s="83">
        <f t="shared" si="438"/>
        <v>0</v>
      </c>
      <c r="AR223" s="83">
        <f t="shared" si="417"/>
        <v>0</v>
      </c>
      <c r="AS223" s="83">
        <v>0</v>
      </c>
      <c r="AT223" s="83">
        <f t="shared" si="439"/>
        <v>0</v>
      </c>
      <c r="AU223" s="83">
        <v>0</v>
      </c>
      <c r="AV223" s="83">
        <f t="shared" si="440"/>
        <v>0</v>
      </c>
      <c r="AW223" s="83">
        <f t="shared" si="441"/>
        <v>0</v>
      </c>
      <c r="AX223" s="83">
        <f t="shared" si="418"/>
        <v>0</v>
      </c>
    </row>
    <row r="224" spans="1:50" x14ac:dyDescent="0.35">
      <c r="B224" s="7" t="s">
        <v>141</v>
      </c>
      <c r="C224" s="78">
        <v>0</v>
      </c>
      <c r="D224" s="92">
        <v>0</v>
      </c>
      <c r="E224" s="78">
        <v>0</v>
      </c>
      <c r="F224" s="78">
        <f t="shared" si="419"/>
        <v>0</v>
      </c>
      <c r="G224" s="78">
        <v>0</v>
      </c>
      <c r="H224" s="78">
        <f t="shared" si="420"/>
        <v>0</v>
      </c>
      <c r="I224" s="78">
        <f t="shared" si="421"/>
        <v>0</v>
      </c>
      <c r="J224" s="78">
        <f t="shared" si="408"/>
        <v>0</v>
      </c>
      <c r="K224" s="79">
        <f t="shared" si="422"/>
        <v>0</v>
      </c>
      <c r="L224" s="79">
        <f t="shared" si="409"/>
        <v>0</v>
      </c>
      <c r="M224" s="79">
        <v>0</v>
      </c>
      <c r="N224" s="79">
        <f t="shared" si="423"/>
        <v>0</v>
      </c>
      <c r="O224" s="79">
        <v>0</v>
      </c>
      <c r="P224" s="79">
        <f t="shared" si="424"/>
        <v>0</v>
      </c>
      <c r="Q224" s="79">
        <f t="shared" si="425"/>
        <v>0</v>
      </c>
      <c r="R224" s="79">
        <f t="shared" si="410"/>
        <v>0</v>
      </c>
      <c r="S224" s="80">
        <f t="shared" si="426"/>
        <v>0</v>
      </c>
      <c r="T224" s="80">
        <f t="shared" si="411"/>
        <v>0</v>
      </c>
      <c r="U224" s="80">
        <v>0</v>
      </c>
      <c r="V224" s="80">
        <f t="shared" si="427"/>
        <v>0</v>
      </c>
      <c r="W224" s="80">
        <v>0</v>
      </c>
      <c r="X224" s="80">
        <f t="shared" si="428"/>
        <v>0</v>
      </c>
      <c r="Y224" s="80">
        <f t="shared" si="429"/>
        <v>0</v>
      </c>
      <c r="Z224" s="80">
        <f t="shared" si="412"/>
        <v>0</v>
      </c>
      <c r="AA224" s="81">
        <f t="shared" si="430"/>
        <v>0</v>
      </c>
      <c r="AB224" s="81">
        <f t="shared" si="413"/>
        <v>0</v>
      </c>
      <c r="AC224" s="81">
        <v>0</v>
      </c>
      <c r="AD224" s="81">
        <f t="shared" si="431"/>
        <v>0</v>
      </c>
      <c r="AE224" s="81">
        <v>0</v>
      </c>
      <c r="AF224" s="81">
        <f t="shared" si="432"/>
        <v>0</v>
      </c>
      <c r="AG224" s="81">
        <f t="shared" si="433"/>
        <v>0</v>
      </c>
      <c r="AH224" s="81">
        <f t="shared" si="414"/>
        <v>0</v>
      </c>
      <c r="AI224" s="82">
        <f t="shared" si="434"/>
        <v>0</v>
      </c>
      <c r="AJ224" s="82">
        <f t="shared" si="415"/>
        <v>0</v>
      </c>
      <c r="AK224" s="82">
        <v>0</v>
      </c>
      <c r="AL224" s="82">
        <f t="shared" si="435"/>
        <v>0</v>
      </c>
      <c r="AM224" s="82">
        <v>0</v>
      </c>
      <c r="AN224" s="82">
        <f t="shared" si="436"/>
        <v>0</v>
      </c>
      <c r="AO224" s="82">
        <f t="shared" si="437"/>
        <v>0</v>
      </c>
      <c r="AP224" s="82">
        <f t="shared" si="416"/>
        <v>0</v>
      </c>
      <c r="AQ224" s="83">
        <f t="shared" si="438"/>
        <v>0</v>
      </c>
      <c r="AR224" s="83">
        <f t="shared" si="417"/>
        <v>0</v>
      </c>
      <c r="AS224" s="83">
        <v>0</v>
      </c>
      <c r="AT224" s="83">
        <f t="shared" si="439"/>
        <v>0</v>
      </c>
      <c r="AU224" s="83">
        <v>0</v>
      </c>
      <c r="AV224" s="83">
        <f t="shared" si="440"/>
        <v>0</v>
      </c>
      <c r="AW224" s="83">
        <f t="shared" si="441"/>
        <v>0</v>
      </c>
      <c r="AX224" s="83">
        <f t="shared" si="418"/>
        <v>0</v>
      </c>
    </row>
    <row r="225" spans="1:50" x14ac:dyDescent="0.35">
      <c r="B225" s="7" t="s">
        <v>142</v>
      </c>
      <c r="C225" s="78">
        <v>0</v>
      </c>
      <c r="D225" s="92">
        <v>0</v>
      </c>
      <c r="E225" s="78">
        <v>1.3109249999999999</v>
      </c>
      <c r="F225" s="78">
        <f t="shared" si="419"/>
        <v>1.3109362825690662</v>
      </c>
      <c r="G225" s="78">
        <v>0</v>
      </c>
      <c r="H225" s="78">
        <f t="shared" si="420"/>
        <v>0</v>
      </c>
      <c r="I225" s="78">
        <f t="shared" si="421"/>
        <v>1.3109249999999999</v>
      </c>
      <c r="J225" s="78">
        <f t="shared" si="408"/>
        <v>1.3109362825690662</v>
      </c>
      <c r="K225" s="79">
        <f t="shared" si="422"/>
        <v>1.3109249999999999</v>
      </c>
      <c r="L225" s="79">
        <f t="shared" si="409"/>
        <v>1.3109362825690662</v>
      </c>
      <c r="M225" s="79">
        <v>0.73536990000000002</v>
      </c>
      <c r="N225" s="79">
        <f t="shared" si="423"/>
        <v>0.73539799947243711</v>
      </c>
      <c r="O225" s="79">
        <v>0</v>
      </c>
      <c r="P225" s="79">
        <f t="shared" si="424"/>
        <v>0</v>
      </c>
      <c r="Q225" s="79">
        <f t="shared" si="425"/>
        <v>2.0462948999999999</v>
      </c>
      <c r="R225" s="79">
        <f t="shared" si="410"/>
        <v>2.0463342820415034</v>
      </c>
      <c r="S225" s="80">
        <f t="shared" si="426"/>
        <v>2.0462948999999999</v>
      </c>
      <c r="T225" s="80">
        <f t="shared" si="411"/>
        <v>2.0463342820415034</v>
      </c>
      <c r="U225" s="80">
        <v>0.76925615999999997</v>
      </c>
      <c r="V225" s="80">
        <f t="shared" si="427"/>
        <v>0.76922944432990192</v>
      </c>
      <c r="W225" s="80">
        <v>0</v>
      </c>
      <c r="X225" s="80">
        <f t="shared" si="428"/>
        <v>0</v>
      </c>
      <c r="Y225" s="80">
        <f t="shared" si="429"/>
        <v>2.8155510599999998</v>
      </c>
      <c r="Z225" s="80">
        <f t="shared" si="412"/>
        <v>2.8155637263714053</v>
      </c>
      <c r="AA225" s="81">
        <f t="shared" si="430"/>
        <v>2.8155510599999998</v>
      </c>
      <c r="AB225" s="81">
        <f t="shared" si="413"/>
        <v>2.8155637263714053</v>
      </c>
      <c r="AC225" s="81">
        <v>0</v>
      </c>
      <c r="AD225" s="81">
        <f t="shared" si="431"/>
        <v>0</v>
      </c>
      <c r="AE225" s="81">
        <v>0</v>
      </c>
      <c r="AF225" s="81">
        <f t="shared" si="432"/>
        <v>0</v>
      </c>
      <c r="AG225" s="81">
        <f t="shared" si="433"/>
        <v>2.8155510599999998</v>
      </c>
      <c r="AH225" s="81">
        <f t="shared" si="414"/>
        <v>2.8155637263714053</v>
      </c>
      <c r="AI225" s="82">
        <f t="shared" si="434"/>
        <v>2.8155510599999998</v>
      </c>
      <c r="AJ225" s="82">
        <f t="shared" si="415"/>
        <v>2.8155637263714053</v>
      </c>
      <c r="AK225" s="82">
        <v>0</v>
      </c>
      <c r="AL225" s="82">
        <f t="shared" si="435"/>
        <v>0</v>
      </c>
      <c r="AM225" s="82">
        <v>0</v>
      </c>
      <c r="AN225" s="82">
        <f t="shared" si="436"/>
        <v>0</v>
      </c>
      <c r="AO225" s="82">
        <f t="shared" si="437"/>
        <v>2.8155510599999998</v>
      </c>
      <c r="AP225" s="82">
        <f t="shared" si="416"/>
        <v>2.8155637263714053</v>
      </c>
      <c r="AQ225" s="83">
        <f t="shared" si="438"/>
        <v>2.8155510599999998</v>
      </c>
      <c r="AR225" s="83">
        <f t="shared" si="417"/>
        <v>2.8155637263714053</v>
      </c>
      <c r="AS225" s="83">
        <v>0</v>
      </c>
      <c r="AT225" s="83">
        <f t="shared" si="439"/>
        <v>0</v>
      </c>
      <c r="AU225" s="83">
        <v>0</v>
      </c>
      <c r="AV225" s="83">
        <f t="shared" si="440"/>
        <v>0</v>
      </c>
      <c r="AW225" s="83">
        <f t="shared" si="441"/>
        <v>2.8155510599999998</v>
      </c>
      <c r="AX225" s="83">
        <f t="shared" si="418"/>
        <v>2.8155637263714053</v>
      </c>
    </row>
    <row r="226" spans="1:50" x14ac:dyDescent="0.35">
      <c r="B226" s="7" t="s">
        <v>143</v>
      </c>
      <c r="C226" s="78">
        <v>0</v>
      </c>
      <c r="D226" s="92">
        <v>0</v>
      </c>
      <c r="E226" s="78">
        <v>0.25116406200000002</v>
      </c>
      <c r="F226" s="78">
        <f t="shared" si="419"/>
        <v>0.25116622366132807</v>
      </c>
      <c r="G226" s="78">
        <v>0</v>
      </c>
      <c r="H226" s="78">
        <f t="shared" si="420"/>
        <v>0</v>
      </c>
      <c r="I226" s="78">
        <f t="shared" si="421"/>
        <v>0.25116406200000002</v>
      </c>
      <c r="J226" s="78">
        <f t="shared" si="408"/>
        <v>0.25116622366132807</v>
      </c>
      <c r="K226" s="79">
        <f t="shared" si="422"/>
        <v>0.25116406200000002</v>
      </c>
      <c r="L226" s="79">
        <f t="shared" si="409"/>
        <v>0.25116622366132807</v>
      </c>
      <c r="M226" s="79">
        <v>0</v>
      </c>
      <c r="N226" s="79">
        <f t="shared" si="423"/>
        <v>0</v>
      </c>
      <c r="O226" s="79">
        <v>0</v>
      </c>
      <c r="P226" s="79">
        <f t="shared" si="424"/>
        <v>0</v>
      </c>
      <c r="Q226" s="79">
        <f t="shared" si="425"/>
        <v>0.25116406200000002</v>
      </c>
      <c r="R226" s="79">
        <f t="shared" si="410"/>
        <v>0.25116622366132807</v>
      </c>
      <c r="S226" s="80">
        <f t="shared" si="426"/>
        <v>0.25116406200000002</v>
      </c>
      <c r="T226" s="80">
        <f t="shared" si="411"/>
        <v>0.25116622366132807</v>
      </c>
      <c r="U226" s="80">
        <v>0.18460072</v>
      </c>
      <c r="V226" s="80">
        <f t="shared" si="427"/>
        <v>0.1845943089600996</v>
      </c>
      <c r="W226" s="80">
        <v>0</v>
      </c>
      <c r="X226" s="80">
        <f t="shared" si="428"/>
        <v>0</v>
      </c>
      <c r="Y226" s="80">
        <f t="shared" si="429"/>
        <v>0.43576478200000002</v>
      </c>
      <c r="Z226" s="80">
        <f t="shared" si="412"/>
        <v>0.43576053262142767</v>
      </c>
      <c r="AA226" s="81">
        <f t="shared" si="430"/>
        <v>0.43576478200000002</v>
      </c>
      <c r="AB226" s="81">
        <f t="shared" si="413"/>
        <v>0.43576053262142767</v>
      </c>
      <c r="AC226" s="81">
        <v>0</v>
      </c>
      <c r="AD226" s="81">
        <f t="shared" si="431"/>
        <v>0</v>
      </c>
      <c r="AE226" s="81">
        <v>0</v>
      </c>
      <c r="AF226" s="81">
        <f t="shared" si="432"/>
        <v>0</v>
      </c>
      <c r="AG226" s="81">
        <f t="shared" si="433"/>
        <v>0.43576478200000002</v>
      </c>
      <c r="AH226" s="81">
        <f t="shared" si="414"/>
        <v>0.43576053262142767</v>
      </c>
      <c r="AI226" s="82">
        <f t="shared" si="434"/>
        <v>0.43576478200000002</v>
      </c>
      <c r="AJ226" s="82">
        <f t="shared" si="415"/>
        <v>0.43576053262142767</v>
      </c>
      <c r="AK226" s="82">
        <v>0</v>
      </c>
      <c r="AL226" s="82">
        <f t="shared" si="435"/>
        <v>0</v>
      </c>
      <c r="AM226" s="82">
        <v>0</v>
      </c>
      <c r="AN226" s="82">
        <f t="shared" si="436"/>
        <v>0</v>
      </c>
      <c r="AO226" s="82">
        <f t="shared" si="437"/>
        <v>0.43576478200000002</v>
      </c>
      <c r="AP226" s="82">
        <f t="shared" si="416"/>
        <v>0.43576053262142767</v>
      </c>
      <c r="AQ226" s="83">
        <f t="shared" si="438"/>
        <v>0.43576478200000002</v>
      </c>
      <c r="AR226" s="83">
        <f t="shared" si="417"/>
        <v>0.43576053262142767</v>
      </c>
      <c r="AS226" s="83">
        <v>0</v>
      </c>
      <c r="AT226" s="83">
        <f t="shared" si="439"/>
        <v>0</v>
      </c>
      <c r="AU226" s="83">
        <v>0</v>
      </c>
      <c r="AV226" s="83">
        <f t="shared" si="440"/>
        <v>0</v>
      </c>
      <c r="AW226" s="83">
        <f t="shared" si="441"/>
        <v>0.43576478200000002</v>
      </c>
      <c r="AX226" s="83">
        <f t="shared" si="418"/>
        <v>0.43576053262142767</v>
      </c>
    </row>
    <row r="227" spans="1:50" x14ac:dyDescent="0.35">
      <c r="B227" s="7" t="s">
        <v>144</v>
      </c>
      <c r="C227" s="78">
        <v>0</v>
      </c>
      <c r="D227" s="92">
        <v>0</v>
      </c>
      <c r="E227" s="78">
        <v>0.83941591599999998</v>
      </c>
      <c r="F227" s="78">
        <f t="shared" si="419"/>
        <v>0.83942314049266564</v>
      </c>
      <c r="G227" s="78">
        <v>0</v>
      </c>
      <c r="H227" s="78">
        <f t="shared" si="420"/>
        <v>0</v>
      </c>
      <c r="I227" s="78">
        <f t="shared" si="421"/>
        <v>0.83941591599999998</v>
      </c>
      <c r="J227" s="78">
        <f t="shared" si="408"/>
        <v>0.83942314049266564</v>
      </c>
      <c r="K227" s="79">
        <f t="shared" si="422"/>
        <v>0.83941591599999998</v>
      </c>
      <c r="L227" s="79">
        <f t="shared" si="409"/>
        <v>0.83942314049266564</v>
      </c>
      <c r="M227" s="79">
        <v>0.26587782599999998</v>
      </c>
      <c r="N227" s="79">
        <f t="shared" si="423"/>
        <v>0.26588798554915116</v>
      </c>
      <c r="O227" s="79">
        <v>0</v>
      </c>
      <c r="P227" s="79">
        <f t="shared" si="424"/>
        <v>0</v>
      </c>
      <c r="Q227" s="79">
        <f t="shared" si="425"/>
        <v>1.105293742</v>
      </c>
      <c r="R227" s="79">
        <f t="shared" si="410"/>
        <v>1.1053111260418169</v>
      </c>
      <c r="S227" s="80">
        <f t="shared" si="426"/>
        <v>1.105293742</v>
      </c>
      <c r="T227" s="80">
        <f t="shared" si="411"/>
        <v>1.1053111260418169</v>
      </c>
      <c r="U227" s="80">
        <v>9.3280653000000005E-2</v>
      </c>
      <c r="V227" s="80">
        <f t="shared" si="427"/>
        <v>9.3277413435233852E-2</v>
      </c>
      <c r="W227" s="80">
        <v>0</v>
      </c>
      <c r="X227" s="80">
        <f t="shared" si="428"/>
        <v>0</v>
      </c>
      <c r="Y227" s="80">
        <f t="shared" si="429"/>
        <v>1.1985743950000001</v>
      </c>
      <c r="Z227" s="80">
        <f t="shared" si="412"/>
        <v>1.1985885394770508</v>
      </c>
      <c r="AA227" s="81">
        <f t="shared" si="430"/>
        <v>1.1985743950000001</v>
      </c>
      <c r="AB227" s="81">
        <f t="shared" si="413"/>
        <v>1.1985885394770508</v>
      </c>
      <c r="AC227" s="81">
        <v>0</v>
      </c>
      <c r="AD227" s="81">
        <f t="shared" si="431"/>
        <v>0</v>
      </c>
      <c r="AE227" s="81">
        <v>0</v>
      </c>
      <c r="AF227" s="81">
        <f t="shared" si="432"/>
        <v>0</v>
      </c>
      <c r="AG227" s="81">
        <f t="shared" si="433"/>
        <v>1.1985743950000001</v>
      </c>
      <c r="AH227" s="81">
        <f t="shared" si="414"/>
        <v>1.1985885394770508</v>
      </c>
      <c r="AI227" s="82">
        <f t="shared" si="434"/>
        <v>1.1985743950000001</v>
      </c>
      <c r="AJ227" s="82">
        <f t="shared" si="415"/>
        <v>1.1985885394770508</v>
      </c>
      <c r="AK227" s="82">
        <v>0</v>
      </c>
      <c r="AL227" s="82">
        <f t="shared" si="435"/>
        <v>0</v>
      </c>
      <c r="AM227" s="82">
        <v>0</v>
      </c>
      <c r="AN227" s="82">
        <f t="shared" si="436"/>
        <v>0</v>
      </c>
      <c r="AO227" s="82">
        <f t="shared" si="437"/>
        <v>1.1985743950000001</v>
      </c>
      <c r="AP227" s="82">
        <f t="shared" si="416"/>
        <v>1.1985885394770508</v>
      </c>
      <c r="AQ227" s="83">
        <f t="shared" si="438"/>
        <v>1.1985743950000001</v>
      </c>
      <c r="AR227" s="83">
        <f t="shared" si="417"/>
        <v>1.1985885394770508</v>
      </c>
      <c r="AS227" s="83">
        <v>0</v>
      </c>
      <c r="AT227" s="83">
        <f t="shared" si="439"/>
        <v>0</v>
      </c>
      <c r="AU227" s="83">
        <v>0</v>
      </c>
      <c r="AV227" s="83">
        <f t="shared" si="440"/>
        <v>0</v>
      </c>
      <c r="AW227" s="83">
        <f t="shared" si="441"/>
        <v>1.1985743950000001</v>
      </c>
      <c r="AX227" s="83">
        <f t="shared" si="418"/>
        <v>1.1985885394770508</v>
      </c>
    </row>
    <row r="228" spans="1:50" x14ac:dyDescent="0.35">
      <c r="B228" s="7" t="s">
        <v>145</v>
      </c>
      <c r="C228" s="78">
        <v>0</v>
      </c>
      <c r="D228" s="92">
        <v>0</v>
      </c>
      <c r="E228" s="78">
        <v>0</v>
      </c>
      <c r="F228" s="78">
        <f t="shared" si="419"/>
        <v>0</v>
      </c>
      <c r="G228" s="78">
        <v>0</v>
      </c>
      <c r="H228" s="78">
        <f t="shared" si="420"/>
        <v>0</v>
      </c>
      <c r="I228" s="78">
        <f t="shared" si="421"/>
        <v>0</v>
      </c>
      <c r="J228" s="78">
        <f t="shared" si="408"/>
        <v>0</v>
      </c>
      <c r="K228" s="79">
        <f t="shared" si="422"/>
        <v>0</v>
      </c>
      <c r="L228" s="79">
        <f t="shared" si="409"/>
        <v>0</v>
      </c>
      <c r="M228" s="79">
        <v>0</v>
      </c>
      <c r="N228" s="79">
        <f t="shared" si="423"/>
        <v>0</v>
      </c>
      <c r="O228" s="79">
        <v>0</v>
      </c>
      <c r="P228" s="79">
        <f t="shared" si="424"/>
        <v>0</v>
      </c>
      <c r="Q228" s="79">
        <f t="shared" si="425"/>
        <v>0</v>
      </c>
      <c r="R228" s="79">
        <f t="shared" si="410"/>
        <v>0</v>
      </c>
      <c r="S228" s="80">
        <f t="shared" si="426"/>
        <v>0</v>
      </c>
      <c r="T228" s="80">
        <f t="shared" si="411"/>
        <v>0</v>
      </c>
      <c r="U228" s="80">
        <v>0</v>
      </c>
      <c r="V228" s="80">
        <f t="shared" si="427"/>
        <v>0</v>
      </c>
      <c r="W228" s="80">
        <v>0</v>
      </c>
      <c r="X228" s="80">
        <f t="shared" si="428"/>
        <v>0</v>
      </c>
      <c r="Y228" s="80">
        <f t="shared" si="429"/>
        <v>0</v>
      </c>
      <c r="Z228" s="80">
        <f t="shared" si="412"/>
        <v>0</v>
      </c>
      <c r="AA228" s="81">
        <f t="shared" si="430"/>
        <v>0</v>
      </c>
      <c r="AB228" s="81">
        <f t="shared" si="413"/>
        <v>0</v>
      </c>
      <c r="AC228" s="81">
        <v>0</v>
      </c>
      <c r="AD228" s="81">
        <f t="shared" si="431"/>
        <v>0</v>
      </c>
      <c r="AE228" s="81">
        <v>0</v>
      </c>
      <c r="AF228" s="81">
        <f t="shared" si="432"/>
        <v>0</v>
      </c>
      <c r="AG228" s="81">
        <f t="shared" si="433"/>
        <v>0</v>
      </c>
      <c r="AH228" s="81">
        <f t="shared" si="414"/>
        <v>0</v>
      </c>
      <c r="AI228" s="82">
        <f t="shared" si="434"/>
        <v>0</v>
      </c>
      <c r="AJ228" s="82">
        <f t="shared" si="415"/>
        <v>0</v>
      </c>
      <c r="AK228" s="82">
        <v>0</v>
      </c>
      <c r="AL228" s="82">
        <f t="shared" si="435"/>
        <v>0</v>
      </c>
      <c r="AM228" s="82">
        <v>0</v>
      </c>
      <c r="AN228" s="82">
        <f t="shared" si="436"/>
        <v>0</v>
      </c>
      <c r="AO228" s="82">
        <f t="shared" si="437"/>
        <v>0</v>
      </c>
      <c r="AP228" s="82">
        <f t="shared" si="416"/>
        <v>0</v>
      </c>
      <c r="AQ228" s="83">
        <f t="shared" si="438"/>
        <v>0</v>
      </c>
      <c r="AR228" s="83">
        <f t="shared" si="417"/>
        <v>0</v>
      </c>
      <c r="AS228" s="83">
        <v>0</v>
      </c>
      <c r="AT228" s="83">
        <f t="shared" si="439"/>
        <v>0</v>
      </c>
      <c r="AU228" s="83">
        <v>0</v>
      </c>
      <c r="AV228" s="83">
        <f t="shared" si="440"/>
        <v>0</v>
      </c>
      <c r="AW228" s="83">
        <f t="shared" si="441"/>
        <v>0</v>
      </c>
      <c r="AX228" s="83">
        <f t="shared" si="418"/>
        <v>0</v>
      </c>
    </row>
    <row r="229" spans="1:50" x14ac:dyDescent="0.35">
      <c r="B229" s="7" t="s">
        <v>146</v>
      </c>
      <c r="C229" s="78">
        <v>0</v>
      </c>
      <c r="D229" s="92">
        <v>0</v>
      </c>
      <c r="E229" s="78">
        <v>0</v>
      </c>
      <c r="F229" s="78">
        <f t="shared" si="419"/>
        <v>0</v>
      </c>
      <c r="G229" s="78">
        <v>0</v>
      </c>
      <c r="H229" s="78">
        <f t="shared" si="420"/>
        <v>0</v>
      </c>
      <c r="I229" s="78">
        <f t="shared" si="421"/>
        <v>0</v>
      </c>
      <c r="J229" s="78">
        <f t="shared" si="408"/>
        <v>0</v>
      </c>
      <c r="K229" s="79">
        <f t="shared" si="422"/>
        <v>0</v>
      </c>
      <c r="L229" s="79">
        <f t="shared" si="409"/>
        <v>0</v>
      </c>
      <c r="M229" s="79">
        <v>0</v>
      </c>
      <c r="N229" s="79">
        <f t="shared" si="423"/>
        <v>0</v>
      </c>
      <c r="O229" s="79">
        <v>0</v>
      </c>
      <c r="P229" s="79">
        <f t="shared" si="424"/>
        <v>0</v>
      </c>
      <c r="Q229" s="79">
        <f t="shared" si="425"/>
        <v>0</v>
      </c>
      <c r="R229" s="79">
        <f t="shared" si="410"/>
        <v>0</v>
      </c>
      <c r="S229" s="80">
        <f t="shared" si="426"/>
        <v>0</v>
      </c>
      <c r="T229" s="80">
        <f t="shared" si="411"/>
        <v>0</v>
      </c>
      <c r="U229" s="80">
        <v>0</v>
      </c>
      <c r="V229" s="80">
        <f t="shared" si="427"/>
        <v>0</v>
      </c>
      <c r="W229" s="80">
        <v>0</v>
      </c>
      <c r="X229" s="80">
        <f t="shared" si="428"/>
        <v>0</v>
      </c>
      <c r="Y229" s="80">
        <f t="shared" si="429"/>
        <v>0</v>
      </c>
      <c r="Z229" s="80">
        <f t="shared" si="412"/>
        <v>0</v>
      </c>
      <c r="AA229" s="81">
        <f t="shared" si="430"/>
        <v>0</v>
      </c>
      <c r="AB229" s="81">
        <f t="shared" si="413"/>
        <v>0</v>
      </c>
      <c r="AC229" s="81">
        <v>0</v>
      </c>
      <c r="AD229" s="81">
        <f t="shared" si="431"/>
        <v>0</v>
      </c>
      <c r="AE229" s="81">
        <v>0</v>
      </c>
      <c r="AF229" s="81">
        <f t="shared" si="432"/>
        <v>0</v>
      </c>
      <c r="AG229" s="81">
        <f t="shared" si="433"/>
        <v>0</v>
      </c>
      <c r="AH229" s="81">
        <f t="shared" si="414"/>
        <v>0</v>
      </c>
      <c r="AI229" s="82">
        <f t="shared" si="434"/>
        <v>0</v>
      </c>
      <c r="AJ229" s="82">
        <f t="shared" si="415"/>
        <v>0</v>
      </c>
      <c r="AK229" s="82">
        <v>0</v>
      </c>
      <c r="AL229" s="82">
        <f t="shared" si="435"/>
        <v>0</v>
      </c>
      <c r="AM229" s="82">
        <v>0</v>
      </c>
      <c r="AN229" s="82">
        <f t="shared" si="436"/>
        <v>0</v>
      </c>
      <c r="AO229" s="82">
        <f t="shared" si="437"/>
        <v>0</v>
      </c>
      <c r="AP229" s="82">
        <f t="shared" si="416"/>
        <v>0</v>
      </c>
      <c r="AQ229" s="83">
        <f t="shared" si="438"/>
        <v>0</v>
      </c>
      <c r="AR229" s="83">
        <f t="shared" si="417"/>
        <v>0</v>
      </c>
      <c r="AS229" s="83">
        <v>0</v>
      </c>
      <c r="AT229" s="83">
        <f t="shared" si="439"/>
        <v>0</v>
      </c>
      <c r="AU229" s="83">
        <v>0</v>
      </c>
      <c r="AV229" s="83">
        <f t="shared" si="440"/>
        <v>0</v>
      </c>
      <c r="AW229" s="83">
        <f t="shared" si="441"/>
        <v>0</v>
      </c>
      <c r="AX229" s="83">
        <f t="shared" si="418"/>
        <v>0</v>
      </c>
    </row>
    <row r="230" spans="1:50" x14ac:dyDescent="0.35">
      <c r="B230" s="7" t="s">
        <v>147</v>
      </c>
      <c r="C230" s="78">
        <v>0</v>
      </c>
      <c r="D230" s="92">
        <v>0</v>
      </c>
      <c r="E230" s="78">
        <v>0.13969000200000001</v>
      </c>
      <c r="F230" s="78">
        <f t="shared" si="419"/>
        <v>0.13969120425191789</v>
      </c>
      <c r="G230" s="78">
        <v>0</v>
      </c>
      <c r="H230" s="78">
        <f t="shared" si="420"/>
        <v>0</v>
      </c>
      <c r="I230" s="78">
        <f t="shared" si="421"/>
        <v>0.13969000200000001</v>
      </c>
      <c r="J230" s="78">
        <f t="shared" si="408"/>
        <v>0.13969120425191789</v>
      </c>
      <c r="K230" s="79">
        <f t="shared" si="422"/>
        <v>0.13969000200000001</v>
      </c>
      <c r="L230" s="79">
        <f t="shared" si="409"/>
        <v>0.13969120425191789</v>
      </c>
      <c r="M230" s="79">
        <v>0.112043974</v>
      </c>
      <c r="N230" s="79">
        <f t="shared" si="423"/>
        <v>0.11204825535086731</v>
      </c>
      <c r="O230" s="79">
        <v>0</v>
      </c>
      <c r="P230" s="79">
        <f t="shared" si="424"/>
        <v>0</v>
      </c>
      <c r="Q230" s="79">
        <f t="shared" si="425"/>
        <v>0.25173397600000003</v>
      </c>
      <c r="R230" s="79">
        <f t="shared" si="410"/>
        <v>0.25173945960278521</v>
      </c>
      <c r="S230" s="80">
        <f t="shared" si="426"/>
        <v>0.25173397600000003</v>
      </c>
      <c r="T230" s="80">
        <f t="shared" si="411"/>
        <v>0.25173945960278521</v>
      </c>
      <c r="U230" s="80">
        <v>0</v>
      </c>
      <c r="V230" s="80">
        <f t="shared" si="427"/>
        <v>0</v>
      </c>
      <c r="W230" s="80">
        <v>0</v>
      </c>
      <c r="X230" s="80">
        <f t="shared" si="428"/>
        <v>0</v>
      </c>
      <c r="Y230" s="80">
        <f t="shared" si="429"/>
        <v>0.25173397600000003</v>
      </c>
      <c r="Z230" s="80">
        <f t="shared" si="412"/>
        <v>0.25173945960278521</v>
      </c>
      <c r="AA230" s="81">
        <f t="shared" si="430"/>
        <v>0.25173397600000003</v>
      </c>
      <c r="AB230" s="81">
        <f t="shared" si="413"/>
        <v>0.25173945960278521</v>
      </c>
      <c r="AC230" s="81">
        <v>0</v>
      </c>
      <c r="AD230" s="81">
        <f t="shared" si="431"/>
        <v>0</v>
      </c>
      <c r="AE230" s="81">
        <v>0</v>
      </c>
      <c r="AF230" s="81">
        <f t="shared" si="432"/>
        <v>0</v>
      </c>
      <c r="AG230" s="81">
        <f t="shared" si="433"/>
        <v>0.25173397600000003</v>
      </c>
      <c r="AH230" s="81">
        <f t="shared" si="414"/>
        <v>0.25173945960278521</v>
      </c>
      <c r="AI230" s="82">
        <f t="shared" si="434"/>
        <v>0.25173397600000003</v>
      </c>
      <c r="AJ230" s="82">
        <f t="shared" si="415"/>
        <v>0.25173945960278521</v>
      </c>
      <c r="AK230" s="82">
        <v>0</v>
      </c>
      <c r="AL230" s="82">
        <f t="shared" si="435"/>
        <v>0</v>
      </c>
      <c r="AM230" s="82">
        <v>0</v>
      </c>
      <c r="AN230" s="82">
        <f t="shared" si="436"/>
        <v>0</v>
      </c>
      <c r="AO230" s="82">
        <f t="shared" si="437"/>
        <v>0.25173397600000003</v>
      </c>
      <c r="AP230" s="82">
        <f t="shared" si="416"/>
        <v>0.25173945960278521</v>
      </c>
      <c r="AQ230" s="83">
        <f t="shared" si="438"/>
        <v>0.25173397600000003</v>
      </c>
      <c r="AR230" s="83">
        <f t="shared" si="417"/>
        <v>0.25173945960278521</v>
      </c>
      <c r="AS230" s="83">
        <v>0</v>
      </c>
      <c r="AT230" s="83">
        <f t="shared" si="439"/>
        <v>0</v>
      </c>
      <c r="AU230" s="83">
        <v>0</v>
      </c>
      <c r="AV230" s="83">
        <f t="shared" si="440"/>
        <v>0</v>
      </c>
      <c r="AW230" s="83">
        <f t="shared" si="441"/>
        <v>0.25173397600000003</v>
      </c>
      <c r="AX230" s="83">
        <f t="shared" si="418"/>
        <v>0.25173945960278521</v>
      </c>
    </row>
    <row r="231" spans="1:50" x14ac:dyDescent="0.35">
      <c r="B231" s="7" t="s">
        <v>148</v>
      </c>
      <c r="C231" s="78">
        <v>0</v>
      </c>
      <c r="D231" s="92">
        <v>0</v>
      </c>
      <c r="E231" s="78">
        <v>0</v>
      </c>
      <c r="F231" s="78">
        <f t="shared" si="419"/>
        <v>0</v>
      </c>
      <c r="G231" s="78">
        <v>0</v>
      </c>
      <c r="H231" s="78">
        <f t="shared" si="420"/>
        <v>0</v>
      </c>
      <c r="I231" s="78">
        <f t="shared" si="421"/>
        <v>0</v>
      </c>
      <c r="J231" s="78">
        <f t="shared" si="408"/>
        <v>0</v>
      </c>
      <c r="K231" s="79">
        <f t="shared" si="422"/>
        <v>0</v>
      </c>
      <c r="L231" s="79">
        <f t="shared" si="409"/>
        <v>0</v>
      </c>
      <c r="M231" s="79">
        <v>0</v>
      </c>
      <c r="N231" s="79">
        <f t="shared" si="423"/>
        <v>0</v>
      </c>
      <c r="O231" s="79">
        <v>0</v>
      </c>
      <c r="P231" s="79">
        <f t="shared" si="424"/>
        <v>0</v>
      </c>
      <c r="Q231" s="79">
        <f t="shared" si="425"/>
        <v>0</v>
      </c>
      <c r="R231" s="79">
        <f t="shared" si="410"/>
        <v>0</v>
      </c>
      <c r="S231" s="80">
        <f t="shared" si="426"/>
        <v>0</v>
      </c>
      <c r="T231" s="80">
        <f t="shared" si="411"/>
        <v>0</v>
      </c>
      <c r="U231" s="80">
        <v>0</v>
      </c>
      <c r="V231" s="80">
        <f t="shared" si="427"/>
        <v>0</v>
      </c>
      <c r="W231" s="80">
        <v>0</v>
      </c>
      <c r="X231" s="80">
        <f t="shared" si="428"/>
        <v>0</v>
      </c>
      <c r="Y231" s="80">
        <f t="shared" si="429"/>
        <v>0</v>
      </c>
      <c r="Z231" s="80">
        <f t="shared" si="412"/>
        <v>0</v>
      </c>
      <c r="AA231" s="81">
        <f t="shared" si="430"/>
        <v>0</v>
      </c>
      <c r="AB231" s="81">
        <f t="shared" si="413"/>
        <v>0</v>
      </c>
      <c r="AC231" s="81">
        <v>0</v>
      </c>
      <c r="AD231" s="81">
        <f t="shared" si="431"/>
        <v>0</v>
      </c>
      <c r="AE231" s="81">
        <v>0</v>
      </c>
      <c r="AF231" s="81">
        <f t="shared" si="432"/>
        <v>0</v>
      </c>
      <c r="AG231" s="81">
        <f t="shared" si="433"/>
        <v>0</v>
      </c>
      <c r="AH231" s="81">
        <f t="shared" si="414"/>
        <v>0</v>
      </c>
      <c r="AI231" s="82">
        <f t="shared" si="434"/>
        <v>0</v>
      </c>
      <c r="AJ231" s="82">
        <f t="shared" si="415"/>
        <v>0</v>
      </c>
      <c r="AK231" s="82">
        <v>0</v>
      </c>
      <c r="AL231" s="82">
        <f t="shared" si="435"/>
        <v>0</v>
      </c>
      <c r="AM231" s="82">
        <v>0</v>
      </c>
      <c r="AN231" s="82">
        <f t="shared" si="436"/>
        <v>0</v>
      </c>
      <c r="AO231" s="82">
        <f t="shared" si="437"/>
        <v>0</v>
      </c>
      <c r="AP231" s="82">
        <f t="shared" si="416"/>
        <v>0</v>
      </c>
      <c r="AQ231" s="83">
        <f t="shared" si="438"/>
        <v>0</v>
      </c>
      <c r="AR231" s="83">
        <f t="shared" si="417"/>
        <v>0</v>
      </c>
      <c r="AS231" s="83">
        <v>0</v>
      </c>
      <c r="AT231" s="83">
        <f t="shared" si="439"/>
        <v>0</v>
      </c>
      <c r="AU231" s="83">
        <v>0</v>
      </c>
      <c r="AV231" s="83">
        <f t="shared" si="440"/>
        <v>0</v>
      </c>
      <c r="AW231" s="83">
        <f t="shared" si="441"/>
        <v>0</v>
      </c>
      <c r="AX231" s="83">
        <f t="shared" si="418"/>
        <v>0</v>
      </c>
    </row>
    <row r="232" spans="1:50" ht="31" x14ac:dyDescent="0.35">
      <c r="B232" s="84" t="s">
        <v>149</v>
      </c>
      <c r="C232" s="78">
        <v>0</v>
      </c>
      <c r="D232" s="92">
        <v>0</v>
      </c>
      <c r="E232" s="78">
        <v>0</v>
      </c>
      <c r="F232" s="78">
        <f t="shared" si="419"/>
        <v>0</v>
      </c>
      <c r="G232" s="78">
        <v>0</v>
      </c>
      <c r="H232" s="78">
        <f t="shared" si="420"/>
        <v>0</v>
      </c>
      <c r="I232" s="78">
        <f t="shared" si="421"/>
        <v>0</v>
      </c>
      <c r="J232" s="78">
        <f t="shared" si="408"/>
        <v>0</v>
      </c>
      <c r="K232" s="79">
        <f t="shared" si="422"/>
        <v>0</v>
      </c>
      <c r="L232" s="79">
        <f t="shared" si="409"/>
        <v>0</v>
      </c>
      <c r="M232" s="79">
        <v>0</v>
      </c>
      <c r="N232" s="79">
        <f t="shared" si="423"/>
        <v>0</v>
      </c>
      <c r="O232" s="79">
        <v>0</v>
      </c>
      <c r="P232" s="79">
        <f t="shared" si="424"/>
        <v>0</v>
      </c>
      <c r="Q232" s="79">
        <f t="shared" si="425"/>
        <v>0</v>
      </c>
      <c r="R232" s="79">
        <f t="shared" si="410"/>
        <v>0</v>
      </c>
      <c r="S232" s="80">
        <f t="shared" si="426"/>
        <v>0</v>
      </c>
      <c r="T232" s="80">
        <f t="shared" si="411"/>
        <v>0</v>
      </c>
      <c r="U232" s="80">
        <v>0</v>
      </c>
      <c r="V232" s="80">
        <f t="shared" si="427"/>
        <v>0</v>
      </c>
      <c r="W232" s="80">
        <v>0</v>
      </c>
      <c r="X232" s="80">
        <f t="shared" si="428"/>
        <v>0</v>
      </c>
      <c r="Y232" s="80">
        <f t="shared" si="429"/>
        <v>0</v>
      </c>
      <c r="Z232" s="80">
        <f t="shared" si="412"/>
        <v>0</v>
      </c>
      <c r="AA232" s="81">
        <f t="shared" si="430"/>
        <v>0</v>
      </c>
      <c r="AB232" s="81">
        <f t="shared" si="413"/>
        <v>0</v>
      </c>
      <c r="AC232" s="81">
        <v>0</v>
      </c>
      <c r="AD232" s="81">
        <f t="shared" si="431"/>
        <v>0</v>
      </c>
      <c r="AE232" s="81">
        <v>0</v>
      </c>
      <c r="AF232" s="81">
        <f t="shared" si="432"/>
        <v>0</v>
      </c>
      <c r="AG232" s="81">
        <f t="shared" si="433"/>
        <v>0</v>
      </c>
      <c r="AH232" s="81">
        <f t="shared" si="414"/>
        <v>0</v>
      </c>
      <c r="AI232" s="82">
        <f t="shared" si="434"/>
        <v>0</v>
      </c>
      <c r="AJ232" s="82">
        <f t="shared" si="415"/>
        <v>0</v>
      </c>
      <c r="AK232" s="82">
        <v>0</v>
      </c>
      <c r="AL232" s="82">
        <f t="shared" si="435"/>
        <v>0</v>
      </c>
      <c r="AM232" s="82">
        <v>0</v>
      </c>
      <c r="AN232" s="82">
        <f t="shared" si="436"/>
        <v>0</v>
      </c>
      <c r="AO232" s="82">
        <f t="shared" si="437"/>
        <v>0</v>
      </c>
      <c r="AP232" s="82">
        <f t="shared" si="416"/>
        <v>0</v>
      </c>
      <c r="AQ232" s="83">
        <f t="shared" si="438"/>
        <v>0</v>
      </c>
      <c r="AR232" s="83">
        <f t="shared" si="417"/>
        <v>0</v>
      </c>
      <c r="AS232" s="83">
        <v>0</v>
      </c>
      <c r="AT232" s="83">
        <f t="shared" si="439"/>
        <v>0</v>
      </c>
      <c r="AU232" s="83">
        <v>0</v>
      </c>
      <c r="AV232" s="83">
        <f t="shared" si="440"/>
        <v>0</v>
      </c>
      <c r="AW232" s="83">
        <f t="shared" si="441"/>
        <v>0</v>
      </c>
      <c r="AX232" s="83">
        <f t="shared" si="418"/>
        <v>0</v>
      </c>
    </row>
    <row r="233" spans="1:50" x14ac:dyDescent="0.35">
      <c r="A233" s="91"/>
      <c r="B233" s="12" t="s">
        <v>27</v>
      </c>
      <c r="C233" s="85">
        <f>SUM(C216:C232)</f>
        <v>12547.350117872253</v>
      </c>
      <c r="D233" s="93">
        <f t="shared" ref="D233:E233" si="442">SUM(D216:D232)</f>
        <v>12413.422826914333</v>
      </c>
      <c r="E233" s="85">
        <f t="shared" si="442"/>
        <v>214.990732493</v>
      </c>
      <c r="F233" s="85">
        <v>214.99258282599996</v>
      </c>
      <c r="G233" s="85">
        <f t="shared" ref="G233:M233" si="443">SUM(G216:G232)</f>
        <v>0</v>
      </c>
      <c r="H233" s="85">
        <f t="shared" si="443"/>
        <v>0</v>
      </c>
      <c r="I233" s="85">
        <f t="shared" si="443"/>
        <v>12762.340850365252</v>
      </c>
      <c r="J233" s="85">
        <f t="shared" si="443"/>
        <v>12628.415409740333</v>
      </c>
      <c r="K233" s="86">
        <f t="shared" si="443"/>
        <v>12762.340850365252</v>
      </c>
      <c r="L233" s="86">
        <f t="shared" si="443"/>
        <v>12628.415409740333</v>
      </c>
      <c r="M233" s="86">
        <f t="shared" si="443"/>
        <v>209.06201145949998</v>
      </c>
      <c r="N233" s="86">
        <v>209.07000000000002</v>
      </c>
      <c r="O233" s="86">
        <f t="shared" ref="O233:U233" si="444">SUM(O216:O232)</f>
        <v>0</v>
      </c>
      <c r="P233" s="86">
        <f t="shared" si="444"/>
        <v>0</v>
      </c>
      <c r="Q233" s="86">
        <f t="shared" si="444"/>
        <v>12971.40286182475</v>
      </c>
      <c r="R233" s="86">
        <f t="shared" si="444"/>
        <v>12837.485409740335</v>
      </c>
      <c r="S233" s="87">
        <f t="shared" si="444"/>
        <v>12971.40286182475</v>
      </c>
      <c r="T233" s="87">
        <f t="shared" si="444"/>
        <v>12837.485409740335</v>
      </c>
      <c r="U233" s="87">
        <f t="shared" si="444"/>
        <v>245.19176723799998</v>
      </c>
      <c r="V233" s="87">
        <v>245.18325191800008</v>
      </c>
      <c r="W233" s="87">
        <f t="shared" ref="W233:AC233" si="445">SUM(W216:W232)</f>
        <v>0</v>
      </c>
      <c r="X233" s="87">
        <f t="shared" si="445"/>
        <v>0</v>
      </c>
      <c r="Y233" s="87">
        <f t="shared" si="445"/>
        <v>13216.594629062753</v>
      </c>
      <c r="Z233" s="87">
        <f t="shared" si="445"/>
        <v>13082.668661658334</v>
      </c>
      <c r="AA233" s="88">
        <f t="shared" si="445"/>
        <v>13216.594629062753</v>
      </c>
      <c r="AB233" s="88">
        <f t="shared" si="445"/>
        <v>13082.668661658334</v>
      </c>
      <c r="AC233" s="88">
        <f t="shared" si="445"/>
        <v>350.01</v>
      </c>
      <c r="AD233" s="88">
        <v>306.92</v>
      </c>
      <c r="AE233" s="88">
        <f t="shared" ref="AE233:AK233" si="446">SUM(AE216:AE232)</f>
        <v>0</v>
      </c>
      <c r="AF233" s="88">
        <f t="shared" si="446"/>
        <v>0</v>
      </c>
      <c r="AG233" s="88">
        <f t="shared" si="446"/>
        <v>13566.604629062753</v>
      </c>
      <c r="AH233" s="88">
        <f t="shared" si="446"/>
        <v>13389.588661658334</v>
      </c>
      <c r="AI233" s="89">
        <f t="shared" si="446"/>
        <v>13566.604629062753</v>
      </c>
      <c r="AJ233" s="89">
        <f t="shared" si="446"/>
        <v>13389.588661658334</v>
      </c>
      <c r="AK233" s="89">
        <f t="shared" si="446"/>
        <v>177.32</v>
      </c>
      <c r="AL233" s="89">
        <v>41.59</v>
      </c>
      <c r="AM233" s="89">
        <f t="shared" ref="AM233:AS233" si="447">SUM(AM216:AM232)</f>
        <v>0</v>
      </c>
      <c r="AN233" s="89">
        <f t="shared" si="447"/>
        <v>0</v>
      </c>
      <c r="AO233" s="89">
        <f t="shared" si="447"/>
        <v>13743.924629062753</v>
      </c>
      <c r="AP233" s="89">
        <f t="shared" si="447"/>
        <v>13431.178661658334</v>
      </c>
      <c r="AQ233" s="90">
        <f t="shared" si="447"/>
        <v>13743.924629062753</v>
      </c>
      <c r="AR233" s="90">
        <f t="shared" si="447"/>
        <v>13431.178661658334</v>
      </c>
      <c r="AS233" s="90">
        <f t="shared" si="447"/>
        <v>2110.13</v>
      </c>
      <c r="AT233" s="90">
        <v>997.00000000000011</v>
      </c>
      <c r="AU233" s="90">
        <f t="shared" ref="AU233:AX233" si="448">SUM(AU216:AU232)</f>
        <v>0</v>
      </c>
      <c r="AV233" s="90">
        <f t="shared" si="448"/>
        <v>0</v>
      </c>
      <c r="AW233" s="90">
        <f t="shared" si="448"/>
        <v>15854.054629062752</v>
      </c>
      <c r="AX233" s="90">
        <f t="shared" si="448"/>
        <v>14428.178661658334</v>
      </c>
    </row>
    <row r="234" spans="1:50" s="77" customFormat="1" x14ac:dyDescent="0.35">
      <c r="B234" s="70" t="s">
        <v>159</v>
      </c>
      <c r="C234" s="71"/>
      <c r="D234" s="71"/>
      <c r="E234" s="71"/>
      <c r="F234" s="71"/>
      <c r="G234" s="71"/>
      <c r="H234" s="71"/>
      <c r="I234" s="71"/>
      <c r="J234" s="71"/>
      <c r="K234" s="72"/>
      <c r="L234" s="72"/>
      <c r="M234" s="72"/>
      <c r="N234" s="72"/>
      <c r="O234" s="72"/>
      <c r="P234" s="72"/>
      <c r="Q234" s="72"/>
      <c r="R234" s="72"/>
      <c r="S234" s="73"/>
      <c r="T234" s="73"/>
      <c r="U234" s="73"/>
      <c r="V234" s="73"/>
      <c r="W234" s="73"/>
      <c r="X234" s="73"/>
      <c r="Y234" s="73"/>
      <c r="Z234" s="73"/>
      <c r="AA234" s="74"/>
      <c r="AB234" s="74"/>
      <c r="AC234" s="74"/>
      <c r="AD234" s="74"/>
      <c r="AE234" s="74"/>
      <c r="AF234" s="74"/>
      <c r="AG234" s="74"/>
      <c r="AH234" s="74"/>
      <c r="AI234" s="75"/>
      <c r="AJ234" s="75"/>
      <c r="AK234" s="75"/>
      <c r="AL234" s="75"/>
      <c r="AM234" s="75"/>
      <c r="AN234" s="75"/>
      <c r="AO234" s="75"/>
      <c r="AP234" s="75"/>
      <c r="AQ234" s="76"/>
      <c r="AR234" s="76"/>
      <c r="AS234" s="76"/>
      <c r="AT234" s="76"/>
      <c r="AU234" s="76"/>
      <c r="AV234" s="76"/>
      <c r="AW234" s="76"/>
      <c r="AX234" s="76"/>
    </row>
    <row r="235" spans="1:50" x14ac:dyDescent="0.35">
      <c r="B235" s="7" t="s">
        <v>133</v>
      </c>
      <c r="C235" s="78">
        <v>0</v>
      </c>
      <c r="D235" s="92">
        <v>0</v>
      </c>
      <c r="E235" s="78">
        <v>0</v>
      </c>
      <c r="F235" s="78">
        <f>IFERROR(E235/E$252*F$252,0)</f>
        <v>0</v>
      </c>
      <c r="G235" s="78">
        <v>0</v>
      </c>
      <c r="H235" s="78">
        <f>G235</f>
        <v>0</v>
      </c>
      <c r="I235" s="78">
        <f>C235+E235-G235</f>
        <v>0</v>
      </c>
      <c r="J235" s="78">
        <f t="shared" ref="J235:J251" si="449">D235+F235-H235</f>
        <v>0</v>
      </c>
      <c r="K235" s="79">
        <f>I235</f>
        <v>0</v>
      </c>
      <c r="L235" s="79">
        <f t="shared" ref="L235:L251" si="450">J235</f>
        <v>0</v>
      </c>
      <c r="M235" s="79">
        <v>0</v>
      </c>
      <c r="N235" s="79">
        <f>IFERROR(M235/M$252*N$252,0)</f>
        <v>0</v>
      </c>
      <c r="O235" s="79">
        <v>0</v>
      </c>
      <c r="P235" s="79">
        <f>O235</f>
        <v>0</v>
      </c>
      <c r="Q235" s="79">
        <f>K235+M235-O235</f>
        <v>0</v>
      </c>
      <c r="R235" s="79">
        <f t="shared" ref="R235:R251" si="451">L235+N235-P235</f>
        <v>0</v>
      </c>
      <c r="S235" s="80">
        <f>Q235</f>
        <v>0</v>
      </c>
      <c r="T235" s="80">
        <f t="shared" ref="T235:T251" si="452">R235</f>
        <v>0</v>
      </c>
      <c r="U235" s="80">
        <v>0.11958530000000001</v>
      </c>
      <c r="V235" s="80">
        <f>IFERROR(U235/U$252*V$252,0)</f>
        <v>0.11958602522929658</v>
      </c>
      <c r="W235" s="80">
        <v>0</v>
      </c>
      <c r="X235" s="80">
        <f>W235</f>
        <v>0</v>
      </c>
      <c r="Y235" s="80">
        <f>S235+U235-W235</f>
        <v>0.11958530000000001</v>
      </c>
      <c r="Z235" s="80">
        <f t="shared" ref="Z235:Z251" si="453">T235+V235-X235</f>
        <v>0.11958602522929658</v>
      </c>
      <c r="AA235" s="81">
        <f>Y235</f>
        <v>0.11958530000000001</v>
      </c>
      <c r="AB235" s="81">
        <f t="shared" ref="AB235:AB251" si="454">Z235</f>
        <v>0.11958602522929658</v>
      </c>
      <c r="AC235" s="81">
        <v>0</v>
      </c>
      <c r="AD235" s="81">
        <f>IFERROR(AC235/AC$252*AD$252,0)</f>
        <v>0</v>
      </c>
      <c r="AE235" s="81">
        <v>0</v>
      </c>
      <c r="AF235" s="81">
        <f>AE235</f>
        <v>0</v>
      </c>
      <c r="AG235" s="81">
        <f>AA235+AC235-AE235</f>
        <v>0.11958530000000001</v>
      </c>
      <c r="AH235" s="81">
        <f t="shared" ref="AH235:AH251" si="455">AB235+AD235-AF235</f>
        <v>0.11958602522929658</v>
      </c>
      <c r="AI235" s="82">
        <f>AG235</f>
        <v>0.11958530000000001</v>
      </c>
      <c r="AJ235" s="82">
        <f t="shared" ref="AJ235:AJ251" si="456">AH235</f>
        <v>0.11958602522929658</v>
      </c>
      <c r="AK235" s="82">
        <v>0</v>
      </c>
      <c r="AL235" s="82">
        <f>IFERROR(AK235/AK$252*AL$252,0)</f>
        <v>0</v>
      </c>
      <c r="AM235" s="82">
        <v>0</v>
      </c>
      <c r="AN235" s="82">
        <f>AM235</f>
        <v>0</v>
      </c>
      <c r="AO235" s="82">
        <f>AI235+AK235-AM235</f>
        <v>0.11958530000000001</v>
      </c>
      <c r="AP235" s="82">
        <f t="shared" ref="AP235:AP251" si="457">AJ235+AL235-AN235</f>
        <v>0.11958602522929658</v>
      </c>
      <c r="AQ235" s="83">
        <f>AO235</f>
        <v>0.11958530000000001</v>
      </c>
      <c r="AR235" s="83">
        <f t="shared" ref="AR235:AR251" si="458">AP235</f>
        <v>0.11958602522929658</v>
      </c>
      <c r="AS235" s="83">
        <v>0</v>
      </c>
      <c r="AT235" s="83">
        <f>IFERROR(AS235/AS$252*AT$252,0)</f>
        <v>0</v>
      </c>
      <c r="AU235" s="83">
        <v>0</v>
      </c>
      <c r="AV235" s="83">
        <f>AU235</f>
        <v>0</v>
      </c>
      <c r="AW235" s="83">
        <f>AQ235+AS235-AU235</f>
        <v>0.11958530000000001</v>
      </c>
      <c r="AX235" s="83">
        <f t="shared" ref="AX235:AX251" si="459">AR235+AT235-AV235</f>
        <v>0.11958602522929658</v>
      </c>
    </row>
    <row r="236" spans="1:50" x14ac:dyDescent="0.35">
      <c r="B236" s="7" t="s">
        <v>134</v>
      </c>
      <c r="C236" s="78">
        <v>3.4294031679273829</v>
      </c>
      <c r="D236" s="92">
        <v>3.4294031679273829</v>
      </c>
      <c r="E236" s="78">
        <v>0</v>
      </c>
      <c r="F236" s="78">
        <f t="shared" ref="F236:F251" si="460">IFERROR(E236/E$252*F$252,0)</f>
        <v>0</v>
      </c>
      <c r="G236" s="78">
        <v>0</v>
      </c>
      <c r="H236" s="78">
        <f t="shared" ref="H236:H251" si="461">G236</f>
        <v>0</v>
      </c>
      <c r="I236" s="78">
        <f t="shared" ref="I236:I251" si="462">C236+E236-G236</f>
        <v>3.4294031679273829</v>
      </c>
      <c r="J236" s="78">
        <f t="shared" si="449"/>
        <v>3.4294031679273829</v>
      </c>
      <c r="K236" s="79">
        <f t="shared" ref="K236:K251" si="463">I236</f>
        <v>3.4294031679273829</v>
      </c>
      <c r="L236" s="79">
        <f t="shared" si="450"/>
        <v>3.4294031679273829</v>
      </c>
      <c r="M236" s="79">
        <v>0</v>
      </c>
      <c r="N236" s="79">
        <f t="shared" ref="N236:N251" si="464">IFERROR(M236/M$252*N$252,0)</f>
        <v>0</v>
      </c>
      <c r="O236" s="79">
        <v>0</v>
      </c>
      <c r="P236" s="79">
        <f t="shared" ref="P236:P251" si="465">O236</f>
        <v>0</v>
      </c>
      <c r="Q236" s="79">
        <f t="shared" ref="Q236:Q251" si="466">K236+M236-O236</f>
        <v>3.4294031679273829</v>
      </c>
      <c r="R236" s="79">
        <f t="shared" si="451"/>
        <v>3.4294031679273829</v>
      </c>
      <c r="S236" s="80">
        <f t="shared" ref="S236:S251" si="467">Q236</f>
        <v>3.4294031679273829</v>
      </c>
      <c r="T236" s="80">
        <f t="shared" si="452"/>
        <v>3.4294031679273829</v>
      </c>
      <c r="U236" s="80">
        <v>0.78313785899999999</v>
      </c>
      <c r="V236" s="80">
        <f t="shared" ref="V236:V251" si="468">IFERROR(U236/U$252*V$252,0)</f>
        <v>0.78314260836734362</v>
      </c>
      <c r="W236" s="80">
        <v>0</v>
      </c>
      <c r="X236" s="80">
        <f t="shared" ref="X236:X251" si="469">W236</f>
        <v>0</v>
      </c>
      <c r="Y236" s="80">
        <f t="shared" ref="Y236:Y251" si="470">S236+U236-W236</f>
        <v>4.2125410269273829</v>
      </c>
      <c r="Z236" s="80">
        <f t="shared" si="453"/>
        <v>4.2125457762947267</v>
      </c>
      <c r="AA236" s="81">
        <f t="shared" ref="AA236:AA251" si="471">Y236</f>
        <v>4.2125410269273829</v>
      </c>
      <c r="AB236" s="81">
        <f t="shared" si="454"/>
        <v>4.2125457762947267</v>
      </c>
      <c r="AC236" s="81">
        <v>0</v>
      </c>
      <c r="AD236" s="81">
        <f t="shared" ref="AD236:AD251" si="472">IFERROR(AC236/AC$252*AD$252,0)</f>
        <v>0</v>
      </c>
      <c r="AE236" s="81">
        <v>0</v>
      </c>
      <c r="AF236" s="81">
        <f t="shared" ref="AF236:AF251" si="473">AE236</f>
        <v>0</v>
      </c>
      <c r="AG236" s="81">
        <f t="shared" ref="AG236:AG251" si="474">AA236+AC236-AE236</f>
        <v>4.2125410269273829</v>
      </c>
      <c r="AH236" s="81">
        <f t="shared" si="455"/>
        <v>4.2125457762947267</v>
      </c>
      <c r="AI236" s="82">
        <f t="shared" ref="AI236:AI251" si="475">AG236</f>
        <v>4.2125410269273829</v>
      </c>
      <c r="AJ236" s="82">
        <f t="shared" si="456"/>
        <v>4.2125457762947267</v>
      </c>
      <c r="AK236" s="82">
        <v>0</v>
      </c>
      <c r="AL236" s="82">
        <f t="shared" ref="AL236:AL251" si="476">IFERROR(AK236/AK$252*AL$252,0)</f>
        <v>0</v>
      </c>
      <c r="AM236" s="82">
        <v>0</v>
      </c>
      <c r="AN236" s="82">
        <f t="shared" ref="AN236:AN251" si="477">AM236</f>
        <v>0</v>
      </c>
      <c r="AO236" s="82">
        <f t="shared" ref="AO236:AO251" si="478">AI236+AK236-AM236</f>
        <v>4.2125410269273829</v>
      </c>
      <c r="AP236" s="82">
        <f t="shared" si="457"/>
        <v>4.2125457762947267</v>
      </c>
      <c r="AQ236" s="83">
        <f t="shared" ref="AQ236:AQ251" si="479">AO236</f>
        <v>4.2125410269273829</v>
      </c>
      <c r="AR236" s="83">
        <f t="shared" si="458"/>
        <v>4.2125457762947267</v>
      </c>
      <c r="AS236" s="83">
        <v>0</v>
      </c>
      <c r="AT236" s="83">
        <f t="shared" ref="AT236:AT251" si="480">IFERROR(AS236/AS$252*AT$252,0)</f>
        <v>0</v>
      </c>
      <c r="AU236" s="83">
        <v>0</v>
      </c>
      <c r="AV236" s="83">
        <f t="shared" ref="AV236:AV251" si="481">AU236</f>
        <v>0</v>
      </c>
      <c r="AW236" s="83">
        <f t="shared" ref="AW236:AW251" si="482">AQ236+AS236-AU236</f>
        <v>4.2125410269273829</v>
      </c>
      <c r="AX236" s="83">
        <f t="shared" si="459"/>
        <v>4.2125457762947267</v>
      </c>
    </row>
    <row r="237" spans="1:50" ht="31" x14ac:dyDescent="0.35">
      <c r="B237" s="84" t="s">
        <v>135</v>
      </c>
      <c r="C237" s="78">
        <v>0</v>
      </c>
      <c r="D237" s="92">
        <v>0</v>
      </c>
      <c r="E237" s="78">
        <v>0</v>
      </c>
      <c r="F237" s="78">
        <f t="shared" si="460"/>
        <v>0</v>
      </c>
      <c r="G237" s="78">
        <v>0</v>
      </c>
      <c r="H237" s="78">
        <f t="shared" si="461"/>
        <v>0</v>
      </c>
      <c r="I237" s="78">
        <f t="shared" si="462"/>
        <v>0</v>
      </c>
      <c r="J237" s="78">
        <f t="shared" si="449"/>
        <v>0</v>
      </c>
      <c r="K237" s="79">
        <f t="shared" si="463"/>
        <v>0</v>
      </c>
      <c r="L237" s="79">
        <f t="shared" si="450"/>
        <v>0</v>
      </c>
      <c r="M237" s="79">
        <v>0</v>
      </c>
      <c r="N237" s="79">
        <f t="shared" si="464"/>
        <v>0</v>
      </c>
      <c r="O237" s="79">
        <v>0</v>
      </c>
      <c r="P237" s="79">
        <f t="shared" si="465"/>
        <v>0</v>
      </c>
      <c r="Q237" s="79">
        <f t="shared" si="466"/>
        <v>0</v>
      </c>
      <c r="R237" s="79">
        <f t="shared" si="451"/>
        <v>0</v>
      </c>
      <c r="S237" s="80">
        <f t="shared" si="467"/>
        <v>0</v>
      </c>
      <c r="T237" s="80">
        <f t="shared" si="452"/>
        <v>0</v>
      </c>
      <c r="U237" s="80">
        <v>0</v>
      </c>
      <c r="V237" s="80">
        <f t="shared" si="468"/>
        <v>0</v>
      </c>
      <c r="W237" s="80">
        <v>0</v>
      </c>
      <c r="X237" s="80">
        <f t="shared" si="469"/>
        <v>0</v>
      </c>
      <c r="Y237" s="80">
        <f t="shared" si="470"/>
        <v>0</v>
      </c>
      <c r="Z237" s="80">
        <f t="shared" si="453"/>
        <v>0</v>
      </c>
      <c r="AA237" s="81">
        <f t="shared" si="471"/>
        <v>0</v>
      </c>
      <c r="AB237" s="81">
        <f t="shared" si="454"/>
        <v>0</v>
      </c>
      <c r="AC237" s="81">
        <v>0</v>
      </c>
      <c r="AD237" s="81">
        <f t="shared" si="472"/>
        <v>0</v>
      </c>
      <c r="AE237" s="81">
        <v>0</v>
      </c>
      <c r="AF237" s="81">
        <f t="shared" si="473"/>
        <v>0</v>
      </c>
      <c r="AG237" s="81">
        <f t="shared" si="474"/>
        <v>0</v>
      </c>
      <c r="AH237" s="81">
        <f t="shared" si="455"/>
        <v>0</v>
      </c>
      <c r="AI237" s="82">
        <f t="shared" si="475"/>
        <v>0</v>
      </c>
      <c r="AJ237" s="82">
        <f t="shared" si="456"/>
        <v>0</v>
      </c>
      <c r="AK237" s="82">
        <v>0</v>
      </c>
      <c r="AL237" s="82">
        <f t="shared" si="476"/>
        <v>0</v>
      </c>
      <c r="AM237" s="82">
        <v>0</v>
      </c>
      <c r="AN237" s="82">
        <f t="shared" si="477"/>
        <v>0</v>
      </c>
      <c r="AO237" s="82">
        <f t="shared" si="478"/>
        <v>0</v>
      </c>
      <c r="AP237" s="82">
        <f t="shared" si="457"/>
        <v>0</v>
      </c>
      <c r="AQ237" s="83">
        <f t="shared" si="479"/>
        <v>0</v>
      </c>
      <c r="AR237" s="83">
        <f t="shared" si="458"/>
        <v>0</v>
      </c>
      <c r="AS237" s="83">
        <v>0</v>
      </c>
      <c r="AT237" s="83">
        <f t="shared" si="480"/>
        <v>0</v>
      </c>
      <c r="AU237" s="83">
        <v>0</v>
      </c>
      <c r="AV237" s="83">
        <f t="shared" si="481"/>
        <v>0</v>
      </c>
      <c r="AW237" s="83">
        <f t="shared" si="482"/>
        <v>0</v>
      </c>
      <c r="AX237" s="83">
        <f t="shared" si="459"/>
        <v>0</v>
      </c>
    </row>
    <row r="238" spans="1:50" x14ac:dyDescent="0.35">
      <c r="B238" s="7" t="s">
        <v>136</v>
      </c>
      <c r="C238" s="78">
        <v>222.65326612357836</v>
      </c>
      <c r="D238" s="92">
        <v>222.65326612357836</v>
      </c>
      <c r="E238" s="78">
        <v>0</v>
      </c>
      <c r="F238" s="78">
        <f t="shared" si="460"/>
        <v>0</v>
      </c>
      <c r="G238" s="78">
        <v>0</v>
      </c>
      <c r="H238" s="78">
        <f t="shared" si="461"/>
        <v>0</v>
      </c>
      <c r="I238" s="78">
        <f t="shared" si="462"/>
        <v>222.65326612357836</v>
      </c>
      <c r="J238" s="78">
        <f t="shared" si="449"/>
        <v>222.65326612357836</v>
      </c>
      <c r="K238" s="79">
        <f t="shared" si="463"/>
        <v>222.65326612357836</v>
      </c>
      <c r="L238" s="79">
        <f t="shared" si="450"/>
        <v>222.65326612357836</v>
      </c>
      <c r="M238" s="79">
        <v>13.543367399999999</v>
      </c>
      <c r="N238" s="79">
        <f t="shared" si="464"/>
        <v>13.542358606871892</v>
      </c>
      <c r="O238" s="79">
        <v>0</v>
      </c>
      <c r="P238" s="79">
        <f t="shared" si="465"/>
        <v>0</v>
      </c>
      <c r="Q238" s="79">
        <f t="shared" si="466"/>
        <v>236.19663352357836</v>
      </c>
      <c r="R238" s="79">
        <f t="shared" si="451"/>
        <v>236.19562473045025</v>
      </c>
      <c r="S238" s="80">
        <f t="shared" si="467"/>
        <v>236.19663352357836</v>
      </c>
      <c r="T238" s="80">
        <f t="shared" si="452"/>
        <v>236.19562473045025</v>
      </c>
      <c r="U238" s="80">
        <v>72.801878958000003</v>
      </c>
      <c r="V238" s="80">
        <f t="shared" si="468"/>
        <v>72.802320467579079</v>
      </c>
      <c r="W238" s="80">
        <v>0</v>
      </c>
      <c r="X238" s="80">
        <f t="shared" si="469"/>
        <v>0</v>
      </c>
      <c r="Y238" s="80">
        <f t="shared" si="470"/>
        <v>308.99851248157836</v>
      </c>
      <c r="Z238" s="80">
        <f t="shared" si="453"/>
        <v>308.99794519802936</v>
      </c>
      <c r="AA238" s="81">
        <f t="shared" si="471"/>
        <v>308.99851248157836</v>
      </c>
      <c r="AB238" s="81">
        <f t="shared" si="454"/>
        <v>308.99794519802936</v>
      </c>
      <c r="AC238" s="81">
        <v>0</v>
      </c>
      <c r="AD238" s="81">
        <f t="shared" si="472"/>
        <v>0</v>
      </c>
      <c r="AE238" s="81">
        <v>0</v>
      </c>
      <c r="AF238" s="81">
        <f t="shared" si="473"/>
        <v>0</v>
      </c>
      <c r="AG238" s="81">
        <f t="shared" si="474"/>
        <v>308.99851248157836</v>
      </c>
      <c r="AH238" s="81">
        <f t="shared" si="455"/>
        <v>308.99794519802936</v>
      </c>
      <c r="AI238" s="82">
        <f t="shared" si="475"/>
        <v>308.99851248157836</v>
      </c>
      <c r="AJ238" s="82">
        <f t="shared" si="456"/>
        <v>308.99794519802936</v>
      </c>
      <c r="AK238" s="82">
        <v>0</v>
      </c>
      <c r="AL238" s="82">
        <f t="shared" si="476"/>
        <v>0</v>
      </c>
      <c r="AM238" s="82">
        <v>0</v>
      </c>
      <c r="AN238" s="82">
        <f t="shared" si="477"/>
        <v>0</v>
      </c>
      <c r="AO238" s="82">
        <f t="shared" si="478"/>
        <v>308.99851248157836</v>
      </c>
      <c r="AP238" s="82">
        <f t="shared" si="457"/>
        <v>308.99794519802936</v>
      </c>
      <c r="AQ238" s="83">
        <f t="shared" si="479"/>
        <v>308.99851248157836</v>
      </c>
      <c r="AR238" s="83">
        <f t="shared" si="458"/>
        <v>308.99794519802936</v>
      </c>
      <c r="AS238" s="83">
        <v>0</v>
      </c>
      <c r="AT238" s="83">
        <f t="shared" si="480"/>
        <v>0</v>
      </c>
      <c r="AU238" s="83">
        <v>0</v>
      </c>
      <c r="AV238" s="83">
        <f t="shared" si="481"/>
        <v>0</v>
      </c>
      <c r="AW238" s="83">
        <f t="shared" si="482"/>
        <v>308.99851248157836</v>
      </c>
      <c r="AX238" s="83">
        <f t="shared" si="459"/>
        <v>308.99794519802936</v>
      </c>
    </row>
    <row r="239" spans="1:50" x14ac:dyDescent="0.35">
      <c r="B239" s="7" t="s">
        <v>137</v>
      </c>
      <c r="C239" s="78">
        <v>55.298819680343463</v>
      </c>
      <c r="D239" s="92">
        <v>55.298819680343463</v>
      </c>
      <c r="E239" s="78">
        <v>0</v>
      </c>
      <c r="F239" s="78">
        <f t="shared" si="460"/>
        <v>0</v>
      </c>
      <c r="G239" s="78">
        <v>0</v>
      </c>
      <c r="H239" s="78">
        <f t="shared" si="461"/>
        <v>0</v>
      </c>
      <c r="I239" s="78">
        <f t="shared" si="462"/>
        <v>55.298819680343463</v>
      </c>
      <c r="J239" s="78">
        <f t="shared" si="449"/>
        <v>55.298819680343463</v>
      </c>
      <c r="K239" s="79">
        <f t="shared" si="463"/>
        <v>55.298819680343463</v>
      </c>
      <c r="L239" s="79">
        <f t="shared" si="450"/>
        <v>55.298819680343463</v>
      </c>
      <c r="M239" s="79">
        <v>30.4116474</v>
      </c>
      <c r="N239" s="79">
        <f t="shared" si="464"/>
        <v>30.409382153846259</v>
      </c>
      <c r="O239" s="79">
        <v>0</v>
      </c>
      <c r="P239" s="79">
        <f t="shared" si="465"/>
        <v>0</v>
      </c>
      <c r="Q239" s="79">
        <f t="shared" si="466"/>
        <v>85.710467080343463</v>
      </c>
      <c r="R239" s="79">
        <f t="shared" si="451"/>
        <v>85.708201834189722</v>
      </c>
      <c r="S239" s="80">
        <f t="shared" si="467"/>
        <v>85.710467080343463</v>
      </c>
      <c r="T239" s="80">
        <f t="shared" si="452"/>
        <v>85.708201834189722</v>
      </c>
      <c r="U239" s="80">
        <v>3.1170263509999998</v>
      </c>
      <c r="V239" s="80">
        <f t="shared" si="468"/>
        <v>3.1170452543169453</v>
      </c>
      <c r="W239" s="80">
        <v>0</v>
      </c>
      <c r="X239" s="80">
        <f t="shared" si="469"/>
        <v>0</v>
      </c>
      <c r="Y239" s="80">
        <f t="shared" si="470"/>
        <v>88.82749343134347</v>
      </c>
      <c r="Z239" s="80">
        <f t="shared" si="453"/>
        <v>88.825247088506671</v>
      </c>
      <c r="AA239" s="81">
        <f t="shared" si="471"/>
        <v>88.82749343134347</v>
      </c>
      <c r="AB239" s="81">
        <f t="shared" si="454"/>
        <v>88.825247088506671</v>
      </c>
      <c r="AC239" s="81">
        <v>0</v>
      </c>
      <c r="AD239" s="81">
        <f t="shared" si="472"/>
        <v>0</v>
      </c>
      <c r="AE239" s="81">
        <v>0</v>
      </c>
      <c r="AF239" s="81">
        <f t="shared" si="473"/>
        <v>0</v>
      </c>
      <c r="AG239" s="81">
        <f t="shared" si="474"/>
        <v>88.82749343134347</v>
      </c>
      <c r="AH239" s="81">
        <f t="shared" si="455"/>
        <v>88.825247088506671</v>
      </c>
      <c r="AI239" s="82">
        <f t="shared" si="475"/>
        <v>88.82749343134347</v>
      </c>
      <c r="AJ239" s="82">
        <f t="shared" si="456"/>
        <v>88.825247088506671</v>
      </c>
      <c r="AK239" s="82">
        <v>0</v>
      </c>
      <c r="AL239" s="82">
        <f t="shared" si="476"/>
        <v>0</v>
      </c>
      <c r="AM239" s="82">
        <v>0</v>
      </c>
      <c r="AN239" s="82">
        <f t="shared" si="477"/>
        <v>0</v>
      </c>
      <c r="AO239" s="82">
        <f t="shared" si="478"/>
        <v>88.82749343134347</v>
      </c>
      <c r="AP239" s="82">
        <f t="shared" si="457"/>
        <v>88.825247088506671</v>
      </c>
      <c r="AQ239" s="83">
        <f t="shared" si="479"/>
        <v>88.82749343134347</v>
      </c>
      <c r="AR239" s="83">
        <f t="shared" si="458"/>
        <v>88.825247088506671</v>
      </c>
      <c r="AS239" s="83">
        <v>0</v>
      </c>
      <c r="AT239" s="83">
        <f t="shared" si="480"/>
        <v>0</v>
      </c>
      <c r="AU239" s="83">
        <v>0</v>
      </c>
      <c r="AV239" s="83">
        <f t="shared" si="481"/>
        <v>0</v>
      </c>
      <c r="AW239" s="83">
        <f t="shared" si="482"/>
        <v>88.82749343134347</v>
      </c>
      <c r="AX239" s="83">
        <f t="shared" si="459"/>
        <v>88.825247088506671</v>
      </c>
    </row>
    <row r="240" spans="1:50" x14ac:dyDescent="0.35">
      <c r="B240" s="7" t="s">
        <v>138</v>
      </c>
      <c r="C240" s="78">
        <v>5654.2494470916727</v>
      </c>
      <c r="D240" s="92">
        <v>5654.2494470916699</v>
      </c>
      <c r="E240" s="78">
        <v>7.159557787999999</v>
      </c>
      <c r="F240" s="78">
        <f t="shared" si="460"/>
        <v>7.1599862339999998</v>
      </c>
      <c r="G240" s="78">
        <v>0</v>
      </c>
      <c r="H240" s="78">
        <f t="shared" si="461"/>
        <v>0</v>
      </c>
      <c r="I240" s="78">
        <f t="shared" si="462"/>
        <v>5661.4090048796725</v>
      </c>
      <c r="J240" s="78">
        <f t="shared" si="449"/>
        <v>5661.4094333256699</v>
      </c>
      <c r="K240" s="79">
        <f t="shared" si="463"/>
        <v>5661.4090048796725</v>
      </c>
      <c r="L240" s="79">
        <f t="shared" si="450"/>
        <v>5661.4094333256699</v>
      </c>
      <c r="M240" s="79">
        <v>23.241794060999993</v>
      </c>
      <c r="N240" s="79">
        <f t="shared" si="464"/>
        <v>23.240062869528835</v>
      </c>
      <c r="O240" s="79">
        <v>0</v>
      </c>
      <c r="P240" s="79">
        <f t="shared" si="465"/>
        <v>0</v>
      </c>
      <c r="Q240" s="79">
        <f t="shared" si="466"/>
        <v>5684.6507989406728</v>
      </c>
      <c r="R240" s="79">
        <f t="shared" si="451"/>
        <v>5684.6494961951985</v>
      </c>
      <c r="S240" s="80">
        <f t="shared" si="467"/>
        <v>5684.6507989406728</v>
      </c>
      <c r="T240" s="80">
        <f t="shared" si="452"/>
        <v>5684.6494961951985</v>
      </c>
      <c r="U240" s="80">
        <v>149.19700083399999</v>
      </c>
      <c r="V240" s="80">
        <f t="shared" si="468"/>
        <v>149.19790564450736</v>
      </c>
      <c r="W240" s="80">
        <v>0</v>
      </c>
      <c r="X240" s="80">
        <f t="shared" si="469"/>
        <v>0</v>
      </c>
      <c r="Y240" s="80">
        <f t="shared" si="470"/>
        <v>5833.8477997746731</v>
      </c>
      <c r="Z240" s="80">
        <f t="shared" si="453"/>
        <v>5833.8474018397055</v>
      </c>
      <c r="AA240" s="81">
        <f t="shared" si="471"/>
        <v>5833.8477997746731</v>
      </c>
      <c r="AB240" s="81">
        <f t="shared" si="454"/>
        <v>5833.8474018397055</v>
      </c>
      <c r="AC240" s="81">
        <v>158.41999999999999</v>
      </c>
      <c r="AD240" s="81">
        <f t="shared" si="472"/>
        <v>158.41999999999996</v>
      </c>
      <c r="AE240" s="81">
        <v>0</v>
      </c>
      <c r="AF240" s="81">
        <f t="shared" si="473"/>
        <v>0</v>
      </c>
      <c r="AG240" s="81">
        <f t="shared" si="474"/>
        <v>5992.2677997746732</v>
      </c>
      <c r="AH240" s="81">
        <f t="shared" si="455"/>
        <v>5992.2674018397056</v>
      </c>
      <c r="AI240" s="82">
        <f t="shared" si="475"/>
        <v>5992.2677997746732</v>
      </c>
      <c r="AJ240" s="82">
        <f t="shared" si="456"/>
        <v>5992.2674018397056</v>
      </c>
      <c r="AK240" s="82">
        <v>324.18</v>
      </c>
      <c r="AL240" s="82">
        <f t="shared" si="476"/>
        <v>301.75</v>
      </c>
      <c r="AM240" s="82">
        <v>0</v>
      </c>
      <c r="AN240" s="82">
        <f t="shared" si="477"/>
        <v>0</v>
      </c>
      <c r="AO240" s="82">
        <f t="shared" si="478"/>
        <v>6316.4477997746735</v>
      </c>
      <c r="AP240" s="82">
        <f t="shared" si="457"/>
        <v>6294.0174018397056</v>
      </c>
      <c r="AQ240" s="83">
        <f t="shared" si="479"/>
        <v>6316.4477997746735</v>
      </c>
      <c r="AR240" s="83">
        <f t="shared" si="458"/>
        <v>6294.0174018397056</v>
      </c>
      <c r="AS240" s="83">
        <v>343.23</v>
      </c>
      <c r="AT240" s="83">
        <f t="shared" si="480"/>
        <v>220.27</v>
      </c>
      <c r="AU240" s="83">
        <v>0</v>
      </c>
      <c r="AV240" s="83">
        <f t="shared" si="481"/>
        <v>0</v>
      </c>
      <c r="AW240" s="83">
        <f t="shared" si="482"/>
        <v>6659.677799774674</v>
      </c>
      <c r="AX240" s="83">
        <f t="shared" si="459"/>
        <v>6514.287401839706</v>
      </c>
    </row>
    <row r="241" spans="2:50" x14ac:dyDescent="0.35">
      <c r="B241" s="7" t="s">
        <v>139</v>
      </c>
      <c r="C241" s="78">
        <v>0</v>
      </c>
      <c r="D241" s="92">
        <v>0</v>
      </c>
      <c r="E241" s="78">
        <v>0</v>
      </c>
      <c r="F241" s="78">
        <f t="shared" si="460"/>
        <v>0</v>
      </c>
      <c r="G241" s="78">
        <v>0</v>
      </c>
      <c r="H241" s="78">
        <f t="shared" si="461"/>
        <v>0</v>
      </c>
      <c r="I241" s="78">
        <f t="shared" si="462"/>
        <v>0</v>
      </c>
      <c r="J241" s="78">
        <f t="shared" si="449"/>
        <v>0</v>
      </c>
      <c r="K241" s="79">
        <f t="shared" si="463"/>
        <v>0</v>
      </c>
      <c r="L241" s="79">
        <f t="shared" si="450"/>
        <v>0</v>
      </c>
      <c r="M241" s="79">
        <v>0</v>
      </c>
      <c r="N241" s="79">
        <f t="shared" si="464"/>
        <v>0</v>
      </c>
      <c r="O241" s="79">
        <v>0</v>
      </c>
      <c r="P241" s="79">
        <f t="shared" si="465"/>
        <v>0</v>
      </c>
      <c r="Q241" s="79">
        <f t="shared" si="466"/>
        <v>0</v>
      </c>
      <c r="R241" s="79">
        <f t="shared" si="451"/>
        <v>0</v>
      </c>
      <c r="S241" s="80">
        <f t="shared" si="467"/>
        <v>0</v>
      </c>
      <c r="T241" s="80">
        <f t="shared" si="452"/>
        <v>0</v>
      </c>
      <c r="U241" s="80">
        <v>0</v>
      </c>
      <c r="V241" s="80">
        <f t="shared" si="468"/>
        <v>0</v>
      </c>
      <c r="W241" s="80">
        <v>0</v>
      </c>
      <c r="X241" s="80">
        <f t="shared" si="469"/>
        <v>0</v>
      </c>
      <c r="Y241" s="80">
        <f t="shared" si="470"/>
        <v>0</v>
      </c>
      <c r="Z241" s="80">
        <f t="shared" si="453"/>
        <v>0</v>
      </c>
      <c r="AA241" s="81">
        <f t="shared" si="471"/>
        <v>0</v>
      </c>
      <c r="AB241" s="81">
        <f t="shared" si="454"/>
        <v>0</v>
      </c>
      <c r="AC241" s="81">
        <v>0</v>
      </c>
      <c r="AD241" s="81">
        <f t="shared" si="472"/>
        <v>0</v>
      </c>
      <c r="AE241" s="81">
        <v>0</v>
      </c>
      <c r="AF241" s="81">
        <f t="shared" si="473"/>
        <v>0</v>
      </c>
      <c r="AG241" s="81">
        <f t="shared" si="474"/>
        <v>0</v>
      </c>
      <c r="AH241" s="81">
        <f t="shared" si="455"/>
        <v>0</v>
      </c>
      <c r="AI241" s="82">
        <f t="shared" si="475"/>
        <v>0</v>
      </c>
      <c r="AJ241" s="82">
        <f t="shared" si="456"/>
        <v>0</v>
      </c>
      <c r="AK241" s="82">
        <v>0</v>
      </c>
      <c r="AL241" s="82">
        <f t="shared" si="476"/>
        <v>0</v>
      </c>
      <c r="AM241" s="82">
        <v>0</v>
      </c>
      <c r="AN241" s="82">
        <f t="shared" si="477"/>
        <v>0</v>
      </c>
      <c r="AO241" s="82">
        <f t="shared" si="478"/>
        <v>0</v>
      </c>
      <c r="AP241" s="82">
        <f t="shared" si="457"/>
        <v>0</v>
      </c>
      <c r="AQ241" s="83">
        <f t="shared" si="479"/>
        <v>0</v>
      </c>
      <c r="AR241" s="83">
        <f t="shared" si="458"/>
        <v>0</v>
      </c>
      <c r="AS241" s="83">
        <v>0</v>
      </c>
      <c r="AT241" s="83">
        <f t="shared" si="480"/>
        <v>0</v>
      </c>
      <c r="AU241" s="83">
        <v>0</v>
      </c>
      <c r="AV241" s="83">
        <f t="shared" si="481"/>
        <v>0</v>
      </c>
      <c r="AW241" s="83">
        <f t="shared" si="482"/>
        <v>0</v>
      </c>
      <c r="AX241" s="83">
        <f t="shared" si="459"/>
        <v>0</v>
      </c>
    </row>
    <row r="242" spans="2:50" x14ac:dyDescent="0.35">
      <c r="B242" s="7" t="s">
        <v>140</v>
      </c>
      <c r="C242" s="78">
        <v>0</v>
      </c>
      <c r="D242" s="92">
        <v>0</v>
      </c>
      <c r="E242" s="78">
        <v>0</v>
      </c>
      <c r="F242" s="78">
        <f t="shared" si="460"/>
        <v>0</v>
      </c>
      <c r="G242" s="78">
        <v>0</v>
      </c>
      <c r="H242" s="78">
        <f t="shared" si="461"/>
        <v>0</v>
      </c>
      <c r="I242" s="78">
        <f t="shared" si="462"/>
        <v>0</v>
      </c>
      <c r="J242" s="78">
        <f t="shared" si="449"/>
        <v>0</v>
      </c>
      <c r="K242" s="79">
        <f t="shared" si="463"/>
        <v>0</v>
      </c>
      <c r="L242" s="79">
        <f t="shared" si="450"/>
        <v>0</v>
      </c>
      <c r="M242" s="79">
        <v>0</v>
      </c>
      <c r="N242" s="79">
        <f t="shared" si="464"/>
        <v>0</v>
      </c>
      <c r="O242" s="79">
        <v>0</v>
      </c>
      <c r="P242" s="79">
        <f t="shared" si="465"/>
        <v>0</v>
      </c>
      <c r="Q242" s="79">
        <f t="shared" si="466"/>
        <v>0</v>
      </c>
      <c r="R242" s="79">
        <f t="shared" si="451"/>
        <v>0</v>
      </c>
      <c r="S242" s="80">
        <f t="shared" si="467"/>
        <v>0</v>
      </c>
      <c r="T242" s="80">
        <f t="shared" si="452"/>
        <v>0</v>
      </c>
      <c r="U242" s="80">
        <v>0</v>
      </c>
      <c r="V242" s="80">
        <f t="shared" si="468"/>
        <v>0</v>
      </c>
      <c r="W242" s="80">
        <v>0</v>
      </c>
      <c r="X242" s="80">
        <f t="shared" si="469"/>
        <v>0</v>
      </c>
      <c r="Y242" s="80">
        <f t="shared" si="470"/>
        <v>0</v>
      </c>
      <c r="Z242" s="80">
        <f t="shared" si="453"/>
        <v>0</v>
      </c>
      <c r="AA242" s="81">
        <f t="shared" si="471"/>
        <v>0</v>
      </c>
      <c r="AB242" s="81">
        <f t="shared" si="454"/>
        <v>0</v>
      </c>
      <c r="AC242" s="81">
        <v>0</v>
      </c>
      <c r="AD242" s="81">
        <f t="shared" si="472"/>
        <v>0</v>
      </c>
      <c r="AE242" s="81">
        <v>0</v>
      </c>
      <c r="AF242" s="81">
        <f t="shared" si="473"/>
        <v>0</v>
      </c>
      <c r="AG242" s="81">
        <f t="shared" si="474"/>
        <v>0</v>
      </c>
      <c r="AH242" s="81">
        <f t="shared" si="455"/>
        <v>0</v>
      </c>
      <c r="AI242" s="82">
        <f t="shared" si="475"/>
        <v>0</v>
      </c>
      <c r="AJ242" s="82">
        <f t="shared" si="456"/>
        <v>0</v>
      </c>
      <c r="AK242" s="82">
        <v>0</v>
      </c>
      <c r="AL242" s="82">
        <f t="shared" si="476"/>
        <v>0</v>
      </c>
      <c r="AM242" s="82">
        <v>0</v>
      </c>
      <c r="AN242" s="82">
        <f t="shared" si="477"/>
        <v>0</v>
      </c>
      <c r="AO242" s="82">
        <f t="shared" si="478"/>
        <v>0</v>
      </c>
      <c r="AP242" s="82">
        <f t="shared" si="457"/>
        <v>0</v>
      </c>
      <c r="AQ242" s="83">
        <f t="shared" si="479"/>
        <v>0</v>
      </c>
      <c r="AR242" s="83">
        <f t="shared" si="458"/>
        <v>0</v>
      </c>
      <c r="AS242" s="83">
        <v>0</v>
      </c>
      <c r="AT242" s="83">
        <f t="shared" si="480"/>
        <v>0</v>
      </c>
      <c r="AU242" s="83">
        <v>0</v>
      </c>
      <c r="AV242" s="83">
        <f t="shared" si="481"/>
        <v>0</v>
      </c>
      <c r="AW242" s="83">
        <f t="shared" si="482"/>
        <v>0</v>
      </c>
      <c r="AX242" s="83">
        <f t="shared" si="459"/>
        <v>0</v>
      </c>
    </row>
    <row r="243" spans="2:50" x14ac:dyDescent="0.35">
      <c r="B243" s="7" t="s">
        <v>141</v>
      </c>
      <c r="C243" s="78">
        <v>84.203448300272214</v>
      </c>
      <c r="D243" s="92">
        <v>84.203448300272214</v>
      </c>
      <c r="E243" s="78">
        <v>0</v>
      </c>
      <c r="F243" s="78">
        <f t="shared" si="460"/>
        <v>0</v>
      </c>
      <c r="G243" s="78">
        <v>0</v>
      </c>
      <c r="H243" s="78">
        <f t="shared" si="461"/>
        <v>0</v>
      </c>
      <c r="I243" s="78">
        <f t="shared" si="462"/>
        <v>84.203448300272214</v>
      </c>
      <c r="J243" s="78">
        <f t="shared" si="449"/>
        <v>84.203448300272214</v>
      </c>
      <c r="K243" s="79">
        <f t="shared" si="463"/>
        <v>84.203448300272214</v>
      </c>
      <c r="L243" s="79">
        <f t="shared" si="450"/>
        <v>84.203448300272214</v>
      </c>
      <c r="M243" s="79">
        <v>0</v>
      </c>
      <c r="N243" s="79">
        <f t="shared" si="464"/>
        <v>0</v>
      </c>
      <c r="O243" s="79">
        <v>0</v>
      </c>
      <c r="P243" s="79">
        <f t="shared" si="465"/>
        <v>0</v>
      </c>
      <c r="Q243" s="79">
        <f t="shared" si="466"/>
        <v>84.203448300272214</v>
      </c>
      <c r="R243" s="79">
        <f t="shared" si="451"/>
        <v>84.203448300272214</v>
      </c>
      <c r="S243" s="80">
        <f t="shared" si="467"/>
        <v>84.203448300272214</v>
      </c>
      <c r="T243" s="80">
        <f t="shared" si="452"/>
        <v>84.203448300272214</v>
      </c>
      <c r="U243" s="80">
        <v>0</v>
      </c>
      <c r="V243" s="80">
        <f t="shared" si="468"/>
        <v>0</v>
      </c>
      <c r="W243" s="80">
        <v>0</v>
      </c>
      <c r="X243" s="80">
        <f t="shared" si="469"/>
        <v>0</v>
      </c>
      <c r="Y243" s="80">
        <f t="shared" si="470"/>
        <v>84.203448300272214</v>
      </c>
      <c r="Z243" s="80">
        <f t="shared" si="453"/>
        <v>84.203448300272214</v>
      </c>
      <c r="AA243" s="81">
        <f t="shared" si="471"/>
        <v>84.203448300272214</v>
      </c>
      <c r="AB243" s="81">
        <f t="shared" si="454"/>
        <v>84.203448300272214</v>
      </c>
      <c r="AC243" s="81">
        <v>0</v>
      </c>
      <c r="AD243" s="81">
        <f t="shared" si="472"/>
        <v>0</v>
      </c>
      <c r="AE243" s="81">
        <v>0</v>
      </c>
      <c r="AF243" s="81">
        <f t="shared" si="473"/>
        <v>0</v>
      </c>
      <c r="AG243" s="81">
        <f t="shared" si="474"/>
        <v>84.203448300272214</v>
      </c>
      <c r="AH243" s="81">
        <f t="shared" si="455"/>
        <v>84.203448300272214</v>
      </c>
      <c r="AI243" s="82">
        <f t="shared" si="475"/>
        <v>84.203448300272214</v>
      </c>
      <c r="AJ243" s="82">
        <f t="shared" si="456"/>
        <v>84.203448300272214</v>
      </c>
      <c r="AK243" s="82">
        <v>0</v>
      </c>
      <c r="AL243" s="82">
        <f t="shared" si="476"/>
        <v>0</v>
      </c>
      <c r="AM243" s="82">
        <v>0</v>
      </c>
      <c r="AN243" s="82">
        <f t="shared" si="477"/>
        <v>0</v>
      </c>
      <c r="AO243" s="82">
        <f t="shared" si="478"/>
        <v>84.203448300272214</v>
      </c>
      <c r="AP243" s="82">
        <f t="shared" si="457"/>
        <v>84.203448300272214</v>
      </c>
      <c r="AQ243" s="83">
        <f t="shared" si="479"/>
        <v>84.203448300272214</v>
      </c>
      <c r="AR243" s="83">
        <f t="shared" si="458"/>
        <v>84.203448300272214</v>
      </c>
      <c r="AS243" s="83">
        <v>0</v>
      </c>
      <c r="AT243" s="83">
        <f t="shared" si="480"/>
        <v>0</v>
      </c>
      <c r="AU243" s="83">
        <v>0</v>
      </c>
      <c r="AV243" s="83">
        <f t="shared" si="481"/>
        <v>0</v>
      </c>
      <c r="AW243" s="83">
        <f t="shared" si="482"/>
        <v>84.203448300272214</v>
      </c>
      <c r="AX243" s="83">
        <f t="shared" si="459"/>
        <v>84.203448300272214</v>
      </c>
    </row>
    <row r="244" spans="2:50" x14ac:dyDescent="0.35">
      <c r="B244" s="7" t="s">
        <v>142</v>
      </c>
      <c r="C244" s="78">
        <v>0</v>
      </c>
      <c r="D244" s="92">
        <v>0</v>
      </c>
      <c r="E244" s="78">
        <v>0</v>
      </c>
      <c r="F244" s="78">
        <f t="shared" si="460"/>
        <v>0</v>
      </c>
      <c r="G244" s="78">
        <v>0</v>
      </c>
      <c r="H244" s="78">
        <f t="shared" si="461"/>
        <v>0</v>
      </c>
      <c r="I244" s="78">
        <f t="shared" si="462"/>
        <v>0</v>
      </c>
      <c r="J244" s="78">
        <f t="shared" si="449"/>
        <v>0</v>
      </c>
      <c r="K244" s="79">
        <f t="shared" si="463"/>
        <v>0</v>
      </c>
      <c r="L244" s="79">
        <f t="shared" si="450"/>
        <v>0</v>
      </c>
      <c r="M244" s="79">
        <v>3.5529999999999999</v>
      </c>
      <c r="N244" s="79">
        <f t="shared" si="464"/>
        <v>3.5527353507530064</v>
      </c>
      <c r="O244" s="79">
        <v>0</v>
      </c>
      <c r="P244" s="79">
        <f t="shared" si="465"/>
        <v>0</v>
      </c>
      <c r="Q244" s="79">
        <f t="shared" si="466"/>
        <v>3.5529999999999999</v>
      </c>
      <c r="R244" s="79">
        <f t="shared" si="451"/>
        <v>3.5527353507530064</v>
      </c>
      <c r="S244" s="80">
        <f t="shared" si="467"/>
        <v>3.5529999999999999</v>
      </c>
      <c r="T244" s="80">
        <f t="shared" si="452"/>
        <v>3.5527353507530064</v>
      </c>
      <c r="U244" s="80">
        <v>0</v>
      </c>
      <c r="V244" s="80">
        <f t="shared" si="468"/>
        <v>0</v>
      </c>
      <c r="W244" s="80">
        <v>0</v>
      </c>
      <c r="X244" s="80">
        <f t="shared" si="469"/>
        <v>0</v>
      </c>
      <c r="Y244" s="80">
        <f t="shared" si="470"/>
        <v>3.5529999999999999</v>
      </c>
      <c r="Z244" s="80">
        <f t="shared" si="453"/>
        <v>3.5527353507530064</v>
      </c>
      <c r="AA244" s="81">
        <f t="shared" si="471"/>
        <v>3.5529999999999999</v>
      </c>
      <c r="AB244" s="81">
        <f t="shared" si="454"/>
        <v>3.5527353507530064</v>
      </c>
      <c r="AC244" s="81">
        <v>0</v>
      </c>
      <c r="AD244" s="81">
        <f t="shared" si="472"/>
        <v>0</v>
      </c>
      <c r="AE244" s="81">
        <v>0</v>
      </c>
      <c r="AF244" s="81">
        <f t="shared" si="473"/>
        <v>0</v>
      </c>
      <c r="AG244" s="81">
        <f t="shared" si="474"/>
        <v>3.5529999999999999</v>
      </c>
      <c r="AH244" s="81">
        <f t="shared" si="455"/>
        <v>3.5527353507530064</v>
      </c>
      <c r="AI244" s="82">
        <f t="shared" si="475"/>
        <v>3.5529999999999999</v>
      </c>
      <c r="AJ244" s="82">
        <f t="shared" si="456"/>
        <v>3.5527353507530064</v>
      </c>
      <c r="AK244" s="82">
        <v>0</v>
      </c>
      <c r="AL244" s="82">
        <f t="shared" si="476"/>
        <v>0</v>
      </c>
      <c r="AM244" s="82">
        <v>0</v>
      </c>
      <c r="AN244" s="82">
        <f t="shared" si="477"/>
        <v>0</v>
      </c>
      <c r="AO244" s="82">
        <f t="shared" si="478"/>
        <v>3.5529999999999999</v>
      </c>
      <c r="AP244" s="82">
        <f t="shared" si="457"/>
        <v>3.5527353507530064</v>
      </c>
      <c r="AQ244" s="83">
        <f t="shared" si="479"/>
        <v>3.5529999999999999</v>
      </c>
      <c r="AR244" s="83">
        <f t="shared" si="458"/>
        <v>3.5527353507530064</v>
      </c>
      <c r="AS244" s="83">
        <v>0</v>
      </c>
      <c r="AT244" s="83">
        <f t="shared" si="480"/>
        <v>0</v>
      </c>
      <c r="AU244" s="83">
        <v>0</v>
      </c>
      <c r="AV244" s="83">
        <f t="shared" si="481"/>
        <v>0</v>
      </c>
      <c r="AW244" s="83">
        <f t="shared" si="482"/>
        <v>3.5529999999999999</v>
      </c>
      <c r="AX244" s="83">
        <f t="shared" si="459"/>
        <v>3.5527353507530064</v>
      </c>
    </row>
    <row r="245" spans="2:50" x14ac:dyDescent="0.35">
      <c r="B245" s="7" t="s">
        <v>143</v>
      </c>
      <c r="C245" s="78">
        <v>0.48355732178563676</v>
      </c>
      <c r="D245" s="92">
        <v>0.48355732178563676</v>
      </c>
      <c r="E245" s="78">
        <v>0</v>
      </c>
      <c r="F245" s="78">
        <f t="shared" si="460"/>
        <v>0</v>
      </c>
      <c r="G245" s="78">
        <v>0</v>
      </c>
      <c r="H245" s="78">
        <f t="shared" si="461"/>
        <v>0</v>
      </c>
      <c r="I245" s="78">
        <f t="shared" si="462"/>
        <v>0.48355732178563676</v>
      </c>
      <c r="J245" s="78">
        <f t="shared" si="449"/>
        <v>0.48355732178563676</v>
      </c>
      <c r="K245" s="79">
        <f t="shared" si="463"/>
        <v>0.48355732178563676</v>
      </c>
      <c r="L245" s="79">
        <f t="shared" si="450"/>
        <v>0.48355732178563676</v>
      </c>
      <c r="M245" s="79">
        <v>0</v>
      </c>
      <c r="N245" s="79">
        <f t="shared" si="464"/>
        <v>0</v>
      </c>
      <c r="O245" s="79">
        <v>0</v>
      </c>
      <c r="P245" s="79">
        <f t="shared" si="465"/>
        <v>0</v>
      </c>
      <c r="Q245" s="79">
        <f t="shared" si="466"/>
        <v>0.48355732178563676</v>
      </c>
      <c r="R245" s="79">
        <f t="shared" si="451"/>
        <v>0.48355732178563676</v>
      </c>
      <c r="S245" s="80">
        <f t="shared" si="467"/>
        <v>0.48355732178563676</v>
      </c>
      <c r="T245" s="80">
        <f t="shared" si="452"/>
        <v>0.48355732178563676</v>
      </c>
      <c r="U245" s="80">
        <v>0</v>
      </c>
      <c r="V245" s="80">
        <f t="shared" si="468"/>
        <v>0</v>
      </c>
      <c r="W245" s="80">
        <v>0</v>
      </c>
      <c r="X245" s="80">
        <f t="shared" si="469"/>
        <v>0</v>
      </c>
      <c r="Y245" s="80">
        <f t="shared" si="470"/>
        <v>0.48355732178563676</v>
      </c>
      <c r="Z245" s="80">
        <f t="shared" si="453"/>
        <v>0.48355732178563676</v>
      </c>
      <c r="AA245" s="81">
        <f t="shared" si="471"/>
        <v>0.48355732178563676</v>
      </c>
      <c r="AB245" s="81">
        <f t="shared" si="454"/>
        <v>0.48355732178563676</v>
      </c>
      <c r="AC245" s="81">
        <v>0</v>
      </c>
      <c r="AD245" s="81">
        <f t="shared" si="472"/>
        <v>0</v>
      </c>
      <c r="AE245" s="81">
        <v>0</v>
      </c>
      <c r="AF245" s="81">
        <f t="shared" si="473"/>
        <v>0</v>
      </c>
      <c r="AG245" s="81">
        <f t="shared" si="474"/>
        <v>0.48355732178563676</v>
      </c>
      <c r="AH245" s="81">
        <f t="shared" si="455"/>
        <v>0.48355732178563676</v>
      </c>
      <c r="AI245" s="82">
        <f t="shared" si="475"/>
        <v>0.48355732178563676</v>
      </c>
      <c r="AJ245" s="82">
        <f t="shared" si="456"/>
        <v>0.48355732178563676</v>
      </c>
      <c r="AK245" s="82">
        <v>0</v>
      </c>
      <c r="AL245" s="82">
        <f t="shared" si="476"/>
        <v>0</v>
      </c>
      <c r="AM245" s="82">
        <v>0</v>
      </c>
      <c r="AN245" s="82">
        <f t="shared" si="477"/>
        <v>0</v>
      </c>
      <c r="AO245" s="82">
        <f t="shared" si="478"/>
        <v>0.48355732178563676</v>
      </c>
      <c r="AP245" s="82">
        <f t="shared" si="457"/>
        <v>0.48355732178563676</v>
      </c>
      <c r="AQ245" s="83">
        <f t="shared" si="479"/>
        <v>0.48355732178563676</v>
      </c>
      <c r="AR245" s="83">
        <f t="shared" si="458"/>
        <v>0.48355732178563676</v>
      </c>
      <c r="AS245" s="83">
        <v>0</v>
      </c>
      <c r="AT245" s="83">
        <f t="shared" si="480"/>
        <v>0</v>
      </c>
      <c r="AU245" s="83">
        <v>0</v>
      </c>
      <c r="AV245" s="83">
        <f t="shared" si="481"/>
        <v>0</v>
      </c>
      <c r="AW245" s="83">
        <f t="shared" si="482"/>
        <v>0.48355732178563676</v>
      </c>
      <c r="AX245" s="83">
        <f t="shared" si="459"/>
        <v>0.48355732178563676</v>
      </c>
    </row>
    <row r="246" spans="2:50" x14ac:dyDescent="0.35">
      <c r="B246" s="7" t="s">
        <v>144</v>
      </c>
      <c r="C246" s="78">
        <v>0.20148221741068198</v>
      </c>
      <c r="D246" s="92">
        <v>0.20148221741068198</v>
      </c>
      <c r="E246" s="78">
        <v>0</v>
      </c>
      <c r="F246" s="78">
        <f t="shared" si="460"/>
        <v>0</v>
      </c>
      <c r="G246" s="78">
        <v>0</v>
      </c>
      <c r="H246" s="78">
        <f t="shared" si="461"/>
        <v>0</v>
      </c>
      <c r="I246" s="78">
        <f t="shared" si="462"/>
        <v>0.20148221741068198</v>
      </c>
      <c r="J246" s="78">
        <f t="shared" si="449"/>
        <v>0.20148221741068198</v>
      </c>
      <c r="K246" s="79">
        <f t="shared" si="463"/>
        <v>0.20148221741068198</v>
      </c>
      <c r="L246" s="79">
        <f t="shared" si="450"/>
        <v>0.20148221741068198</v>
      </c>
      <c r="M246" s="79">
        <v>0</v>
      </c>
      <c r="N246" s="79">
        <f t="shared" si="464"/>
        <v>0</v>
      </c>
      <c r="O246" s="79">
        <v>0</v>
      </c>
      <c r="P246" s="79">
        <f t="shared" si="465"/>
        <v>0</v>
      </c>
      <c r="Q246" s="79">
        <f t="shared" si="466"/>
        <v>0.20148221741068198</v>
      </c>
      <c r="R246" s="79">
        <f t="shared" si="451"/>
        <v>0.20148221741068198</v>
      </c>
      <c r="S246" s="80">
        <f t="shared" si="467"/>
        <v>0.20148221741068198</v>
      </c>
      <c r="T246" s="80">
        <f t="shared" si="452"/>
        <v>0.20148221741068198</v>
      </c>
      <c r="U246" s="80">
        <v>0</v>
      </c>
      <c r="V246" s="80">
        <f t="shared" si="468"/>
        <v>0</v>
      </c>
      <c r="W246" s="80">
        <v>0</v>
      </c>
      <c r="X246" s="80">
        <f t="shared" si="469"/>
        <v>0</v>
      </c>
      <c r="Y246" s="80">
        <f t="shared" si="470"/>
        <v>0.20148221741068198</v>
      </c>
      <c r="Z246" s="80">
        <f t="shared" si="453"/>
        <v>0.20148221741068198</v>
      </c>
      <c r="AA246" s="81">
        <f t="shared" si="471"/>
        <v>0.20148221741068198</v>
      </c>
      <c r="AB246" s="81">
        <f t="shared" si="454"/>
        <v>0.20148221741068198</v>
      </c>
      <c r="AC246" s="81">
        <v>0</v>
      </c>
      <c r="AD246" s="81">
        <f t="shared" si="472"/>
        <v>0</v>
      </c>
      <c r="AE246" s="81">
        <v>0</v>
      </c>
      <c r="AF246" s="81">
        <f t="shared" si="473"/>
        <v>0</v>
      </c>
      <c r="AG246" s="81">
        <f t="shared" si="474"/>
        <v>0.20148221741068198</v>
      </c>
      <c r="AH246" s="81">
        <f t="shared" si="455"/>
        <v>0.20148221741068198</v>
      </c>
      <c r="AI246" s="82">
        <f t="shared" si="475"/>
        <v>0.20148221741068198</v>
      </c>
      <c r="AJ246" s="82">
        <f t="shared" si="456"/>
        <v>0.20148221741068198</v>
      </c>
      <c r="AK246" s="82">
        <v>0</v>
      </c>
      <c r="AL246" s="82">
        <f t="shared" si="476"/>
        <v>0</v>
      </c>
      <c r="AM246" s="82">
        <v>0</v>
      </c>
      <c r="AN246" s="82">
        <f t="shared" si="477"/>
        <v>0</v>
      </c>
      <c r="AO246" s="82">
        <f t="shared" si="478"/>
        <v>0.20148221741068198</v>
      </c>
      <c r="AP246" s="82">
        <f t="shared" si="457"/>
        <v>0.20148221741068198</v>
      </c>
      <c r="AQ246" s="83">
        <f t="shared" si="479"/>
        <v>0.20148221741068198</v>
      </c>
      <c r="AR246" s="83">
        <f t="shared" si="458"/>
        <v>0.20148221741068198</v>
      </c>
      <c r="AS246" s="83">
        <v>0</v>
      </c>
      <c r="AT246" s="83">
        <f t="shared" si="480"/>
        <v>0</v>
      </c>
      <c r="AU246" s="83">
        <v>0</v>
      </c>
      <c r="AV246" s="83">
        <f t="shared" si="481"/>
        <v>0</v>
      </c>
      <c r="AW246" s="83">
        <f t="shared" si="482"/>
        <v>0.20148221741068198</v>
      </c>
      <c r="AX246" s="83">
        <f t="shared" si="459"/>
        <v>0.20148221741068198</v>
      </c>
    </row>
    <row r="247" spans="2:50" x14ac:dyDescent="0.35">
      <c r="B247" s="7" t="s">
        <v>145</v>
      </c>
      <c r="C247" s="78">
        <v>0</v>
      </c>
      <c r="D247" s="92">
        <v>0</v>
      </c>
      <c r="E247" s="78">
        <v>0</v>
      </c>
      <c r="F247" s="78">
        <f t="shared" si="460"/>
        <v>0</v>
      </c>
      <c r="G247" s="78">
        <v>0</v>
      </c>
      <c r="H247" s="78">
        <f t="shared" si="461"/>
        <v>0</v>
      </c>
      <c r="I247" s="78">
        <f t="shared" si="462"/>
        <v>0</v>
      </c>
      <c r="J247" s="78">
        <f t="shared" si="449"/>
        <v>0</v>
      </c>
      <c r="K247" s="79">
        <f t="shared" si="463"/>
        <v>0</v>
      </c>
      <c r="L247" s="79">
        <f t="shared" si="450"/>
        <v>0</v>
      </c>
      <c r="M247" s="79">
        <v>0</v>
      </c>
      <c r="N247" s="79">
        <f t="shared" si="464"/>
        <v>0</v>
      </c>
      <c r="O247" s="79">
        <v>0</v>
      </c>
      <c r="P247" s="79">
        <f t="shared" si="465"/>
        <v>0</v>
      </c>
      <c r="Q247" s="79">
        <f t="shared" si="466"/>
        <v>0</v>
      </c>
      <c r="R247" s="79">
        <f t="shared" si="451"/>
        <v>0</v>
      </c>
      <c r="S247" s="80">
        <f t="shared" si="467"/>
        <v>0</v>
      </c>
      <c r="T247" s="80">
        <f t="shared" si="452"/>
        <v>0</v>
      </c>
      <c r="U247" s="80">
        <v>0</v>
      </c>
      <c r="V247" s="80">
        <f t="shared" si="468"/>
        <v>0</v>
      </c>
      <c r="W247" s="80">
        <v>0</v>
      </c>
      <c r="X247" s="80">
        <f t="shared" si="469"/>
        <v>0</v>
      </c>
      <c r="Y247" s="80">
        <f t="shared" si="470"/>
        <v>0</v>
      </c>
      <c r="Z247" s="80">
        <f t="shared" si="453"/>
        <v>0</v>
      </c>
      <c r="AA247" s="81">
        <f t="shared" si="471"/>
        <v>0</v>
      </c>
      <c r="AB247" s="81">
        <f t="shared" si="454"/>
        <v>0</v>
      </c>
      <c r="AC247" s="81">
        <v>0</v>
      </c>
      <c r="AD247" s="81">
        <f t="shared" si="472"/>
        <v>0</v>
      </c>
      <c r="AE247" s="81">
        <v>0</v>
      </c>
      <c r="AF247" s="81">
        <f t="shared" si="473"/>
        <v>0</v>
      </c>
      <c r="AG247" s="81">
        <f t="shared" si="474"/>
        <v>0</v>
      </c>
      <c r="AH247" s="81">
        <f t="shared" si="455"/>
        <v>0</v>
      </c>
      <c r="AI247" s="82">
        <f t="shared" si="475"/>
        <v>0</v>
      </c>
      <c r="AJ247" s="82">
        <f t="shared" si="456"/>
        <v>0</v>
      </c>
      <c r="AK247" s="82">
        <v>0</v>
      </c>
      <c r="AL247" s="82">
        <f t="shared" si="476"/>
        <v>0</v>
      </c>
      <c r="AM247" s="82">
        <v>0</v>
      </c>
      <c r="AN247" s="82">
        <f t="shared" si="477"/>
        <v>0</v>
      </c>
      <c r="AO247" s="82">
        <f t="shared" si="478"/>
        <v>0</v>
      </c>
      <c r="AP247" s="82">
        <f t="shared" si="457"/>
        <v>0</v>
      </c>
      <c r="AQ247" s="83">
        <f t="shared" si="479"/>
        <v>0</v>
      </c>
      <c r="AR247" s="83">
        <f t="shared" si="458"/>
        <v>0</v>
      </c>
      <c r="AS247" s="83">
        <v>0</v>
      </c>
      <c r="AT247" s="83">
        <f t="shared" si="480"/>
        <v>0</v>
      </c>
      <c r="AU247" s="83">
        <v>0</v>
      </c>
      <c r="AV247" s="83">
        <f t="shared" si="481"/>
        <v>0</v>
      </c>
      <c r="AW247" s="83">
        <f t="shared" si="482"/>
        <v>0</v>
      </c>
      <c r="AX247" s="83">
        <f t="shared" si="459"/>
        <v>0</v>
      </c>
    </row>
    <row r="248" spans="2:50" x14ac:dyDescent="0.35">
      <c r="B248" s="7" t="s">
        <v>146</v>
      </c>
      <c r="C248" s="78">
        <v>0</v>
      </c>
      <c r="D248" s="92">
        <v>0</v>
      </c>
      <c r="E248" s="78">
        <v>0</v>
      </c>
      <c r="F248" s="78">
        <f t="shared" si="460"/>
        <v>0</v>
      </c>
      <c r="G248" s="78">
        <v>0</v>
      </c>
      <c r="H248" s="78">
        <f t="shared" si="461"/>
        <v>0</v>
      </c>
      <c r="I248" s="78">
        <f t="shared" si="462"/>
        <v>0</v>
      </c>
      <c r="J248" s="78">
        <f t="shared" si="449"/>
        <v>0</v>
      </c>
      <c r="K248" s="79">
        <f t="shared" si="463"/>
        <v>0</v>
      </c>
      <c r="L248" s="79">
        <f t="shared" si="450"/>
        <v>0</v>
      </c>
      <c r="M248" s="79">
        <v>0</v>
      </c>
      <c r="N248" s="79">
        <f t="shared" si="464"/>
        <v>0</v>
      </c>
      <c r="O248" s="79">
        <v>0</v>
      </c>
      <c r="P248" s="79">
        <f t="shared" si="465"/>
        <v>0</v>
      </c>
      <c r="Q248" s="79">
        <f t="shared" si="466"/>
        <v>0</v>
      </c>
      <c r="R248" s="79">
        <f t="shared" si="451"/>
        <v>0</v>
      </c>
      <c r="S248" s="80">
        <f t="shared" si="467"/>
        <v>0</v>
      </c>
      <c r="T248" s="80">
        <f t="shared" si="452"/>
        <v>0</v>
      </c>
      <c r="U248" s="80">
        <v>0</v>
      </c>
      <c r="V248" s="80">
        <f t="shared" si="468"/>
        <v>0</v>
      </c>
      <c r="W248" s="80">
        <v>0</v>
      </c>
      <c r="X248" s="80">
        <f t="shared" si="469"/>
        <v>0</v>
      </c>
      <c r="Y248" s="80">
        <f t="shared" si="470"/>
        <v>0</v>
      </c>
      <c r="Z248" s="80">
        <f t="shared" si="453"/>
        <v>0</v>
      </c>
      <c r="AA248" s="81">
        <f t="shared" si="471"/>
        <v>0</v>
      </c>
      <c r="AB248" s="81">
        <f t="shared" si="454"/>
        <v>0</v>
      </c>
      <c r="AC248" s="81">
        <v>0</v>
      </c>
      <c r="AD248" s="81">
        <f t="shared" si="472"/>
        <v>0</v>
      </c>
      <c r="AE248" s="81">
        <v>0</v>
      </c>
      <c r="AF248" s="81">
        <f t="shared" si="473"/>
        <v>0</v>
      </c>
      <c r="AG248" s="81">
        <f t="shared" si="474"/>
        <v>0</v>
      </c>
      <c r="AH248" s="81">
        <f t="shared" si="455"/>
        <v>0</v>
      </c>
      <c r="AI248" s="82">
        <f t="shared" si="475"/>
        <v>0</v>
      </c>
      <c r="AJ248" s="82">
        <f t="shared" si="456"/>
        <v>0</v>
      </c>
      <c r="AK248" s="82">
        <v>0</v>
      </c>
      <c r="AL248" s="82">
        <f t="shared" si="476"/>
        <v>0</v>
      </c>
      <c r="AM248" s="82">
        <v>0</v>
      </c>
      <c r="AN248" s="82">
        <f t="shared" si="477"/>
        <v>0</v>
      </c>
      <c r="AO248" s="82">
        <f t="shared" si="478"/>
        <v>0</v>
      </c>
      <c r="AP248" s="82">
        <f t="shared" si="457"/>
        <v>0</v>
      </c>
      <c r="AQ248" s="83">
        <f t="shared" si="479"/>
        <v>0</v>
      </c>
      <c r="AR248" s="83">
        <f t="shared" si="458"/>
        <v>0</v>
      </c>
      <c r="AS248" s="83">
        <v>0</v>
      </c>
      <c r="AT248" s="83">
        <f t="shared" si="480"/>
        <v>0</v>
      </c>
      <c r="AU248" s="83">
        <v>0</v>
      </c>
      <c r="AV248" s="83">
        <f t="shared" si="481"/>
        <v>0</v>
      </c>
      <c r="AW248" s="83">
        <f t="shared" si="482"/>
        <v>0</v>
      </c>
      <c r="AX248" s="83">
        <f t="shared" si="459"/>
        <v>0</v>
      </c>
    </row>
    <row r="249" spans="2:50" x14ac:dyDescent="0.35">
      <c r="B249" s="7" t="s">
        <v>147</v>
      </c>
      <c r="C249" s="78">
        <v>0</v>
      </c>
      <c r="D249" s="92">
        <v>0</v>
      </c>
      <c r="E249" s="78">
        <v>0</v>
      </c>
      <c r="F249" s="78">
        <f t="shared" si="460"/>
        <v>0</v>
      </c>
      <c r="G249" s="78">
        <v>0</v>
      </c>
      <c r="H249" s="78">
        <f t="shared" si="461"/>
        <v>0</v>
      </c>
      <c r="I249" s="78">
        <f t="shared" si="462"/>
        <v>0</v>
      </c>
      <c r="J249" s="78">
        <f t="shared" si="449"/>
        <v>0</v>
      </c>
      <c r="K249" s="79">
        <f t="shared" si="463"/>
        <v>0</v>
      </c>
      <c r="L249" s="79">
        <f t="shared" si="450"/>
        <v>0</v>
      </c>
      <c r="M249" s="79">
        <v>0</v>
      </c>
      <c r="N249" s="79">
        <f t="shared" si="464"/>
        <v>0</v>
      </c>
      <c r="O249" s="79">
        <v>0</v>
      </c>
      <c r="P249" s="79">
        <f t="shared" si="465"/>
        <v>0</v>
      </c>
      <c r="Q249" s="79">
        <f t="shared" si="466"/>
        <v>0</v>
      </c>
      <c r="R249" s="79">
        <f t="shared" si="451"/>
        <v>0</v>
      </c>
      <c r="S249" s="80">
        <f t="shared" si="467"/>
        <v>0</v>
      </c>
      <c r="T249" s="80">
        <f t="shared" si="452"/>
        <v>0</v>
      </c>
      <c r="U249" s="80">
        <v>0</v>
      </c>
      <c r="V249" s="80">
        <f t="shared" si="468"/>
        <v>0</v>
      </c>
      <c r="W249" s="80">
        <v>0</v>
      </c>
      <c r="X249" s="80">
        <f t="shared" si="469"/>
        <v>0</v>
      </c>
      <c r="Y249" s="80">
        <f t="shared" si="470"/>
        <v>0</v>
      </c>
      <c r="Z249" s="80">
        <f t="shared" si="453"/>
        <v>0</v>
      </c>
      <c r="AA249" s="81">
        <f t="shared" si="471"/>
        <v>0</v>
      </c>
      <c r="AB249" s="81">
        <f t="shared" si="454"/>
        <v>0</v>
      </c>
      <c r="AC249" s="81">
        <v>0</v>
      </c>
      <c r="AD249" s="81">
        <f t="shared" si="472"/>
        <v>0</v>
      </c>
      <c r="AE249" s="81">
        <v>0</v>
      </c>
      <c r="AF249" s="81">
        <f t="shared" si="473"/>
        <v>0</v>
      </c>
      <c r="AG249" s="81">
        <f t="shared" si="474"/>
        <v>0</v>
      </c>
      <c r="AH249" s="81">
        <f t="shared" si="455"/>
        <v>0</v>
      </c>
      <c r="AI249" s="82">
        <f t="shared" si="475"/>
        <v>0</v>
      </c>
      <c r="AJ249" s="82">
        <f t="shared" si="456"/>
        <v>0</v>
      </c>
      <c r="AK249" s="82">
        <v>0</v>
      </c>
      <c r="AL249" s="82">
        <f t="shared" si="476"/>
        <v>0</v>
      </c>
      <c r="AM249" s="82">
        <v>0</v>
      </c>
      <c r="AN249" s="82">
        <f t="shared" si="477"/>
        <v>0</v>
      </c>
      <c r="AO249" s="82">
        <f t="shared" si="478"/>
        <v>0</v>
      </c>
      <c r="AP249" s="82">
        <f t="shared" si="457"/>
        <v>0</v>
      </c>
      <c r="AQ249" s="83">
        <f t="shared" si="479"/>
        <v>0</v>
      </c>
      <c r="AR249" s="83">
        <f t="shared" si="458"/>
        <v>0</v>
      </c>
      <c r="AS249" s="83">
        <v>0</v>
      </c>
      <c r="AT249" s="83">
        <f t="shared" si="480"/>
        <v>0</v>
      </c>
      <c r="AU249" s="83">
        <v>0</v>
      </c>
      <c r="AV249" s="83">
        <f t="shared" si="481"/>
        <v>0</v>
      </c>
      <c r="AW249" s="83">
        <f t="shared" si="482"/>
        <v>0</v>
      </c>
      <c r="AX249" s="83">
        <f t="shared" si="459"/>
        <v>0</v>
      </c>
    </row>
    <row r="250" spans="2:50" x14ac:dyDescent="0.35">
      <c r="B250" s="7" t="s">
        <v>148</v>
      </c>
      <c r="C250" s="78">
        <v>0</v>
      </c>
      <c r="D250" s="92">
        <v>0</v>
      </c>
      <c r="E250" s="78">
        <v>0</v>
      </c>
      <c r="F250" s="78">
        <f t="shared" si="460"/>
        <v>0</v>
      </c>
      <c r="G250" s="78">
        <v>0</v>
      </c>
      <c r="H250" s="78">
        <f t="shared" si="461"/>
        <v>0</v>
      </c>
      <c r="I250" s="78">
        <f t="shared" si="462"/>
        <v>0</v>
      </c>
      <c r="J250" s="78">
        <f t="shared" si="449"/>
        <v>0</v>
      </c>
      <c r="K250" s="79">
        <f t="shared" si="463"/>
        <v>0</v>
      </c>
      <c r="L250" s="79">
        <f t="shared" si="450"/>
        <v>0</v>
      </c>
      <c r="M250" s="79">
        <v>0</v>
      </c>
      <c r="N250" s="79">
        <f t="shared" si="464"/>
        <v>0</v>
      </c>
      <c r="O250" s="79">
        <v>0</v>
      </c>
      <c r="P250" s="79">
        <f t="shared" si="465"/>
        <v>0</v>
      </c>
      <c r="Q250" s="79">
        <f t="shared" si="466"/>
        <v>0</v>
      </c>
      <c r="R250" s="79">
        <f t="shared" si="451"/>
        <v>0</v>
      </c>
      <c r="S250" s="80">
        <f t="shared" si="467"/>
        <v>0</v>
      </c>
      <c r="T250" s="80">
        <f t="shared" si="452"/>
        <v>0</v>
      </c>
      <c r="U250" s="80">
        <v>0</v>
      </c>
      <c r="V250" s="80">
        <f t="shared" si="468"/>
        <v>0</v>
      </c>
      <c r="W250" s="80">
        <v>0</v>
      </c>
      <c r="X250" s="80">
        <f t="shared" si="469"/>
        <v>0</v>
      </c>
      <c r="Y250" s="80">
        <f t="shared" si="470"/>
        <v>0</v>
      </c>
      <c r="Z250" s="80">
        <f t="shared" si="453"/>
        <v>0</v>
      </c>
      <c r="AA250" s="81">
        <f t="shared" si="471"/>
        <v>0</v>
      </c>
      <c r="AB250" s="81">
        <f t="shared" si="454"/>
        <v>0</v>
      </c>
      <c r="AC250" s="81">
        <v>0</v>
      </c>
      <c r="AD250" s="81">
        <f t="shared" si="472"/>
        <v>0</v>
      </c>
      <c r="AE250" s="81">
        <v>0</v>
      </c>
      <c r="AF250" s="81">
        <f t="shared" si="473"/>
        <v>0</v>
      </c>
      <c r="AG250" s="81">
        <f t="shared" si="474"/>
        <v>0</v>
      </c>
      <c r="AH250" s="81">
        <f t="shared" si="455"/>
        <v>0</v>
      </c>
      <c r="AI250" s="82">
        <f t="shared" si="475"/>
        <v>0</v>
      </c>
      <c r="AJ250" s="82">
        <f t="shared" si="456"/>
        <v>0</v>
      </c>
      <c r="AK250" s="82">
        <v>0</v>
      </c>
      <c r="AL250" s="82">
        <f t="shared" si="476"/>
        <v>0</v>
      </c>
      <c r="AM250" s="82">
        <v>0</v>
      </c>
      <c r="AN250" s="82">
        <f t="shared" si="477"/>
        <v>0</v>
      </c>
      <c r="AO250" s="82">
        <f t="shared" si="478"/>
        <v>0</v>
      </c>
      <c r="AP250" s="82">
        <f t="shared" si="457"/>
        <v>0</v>
      </c>
      <c r="AQ250" s="83">
        <f t="shared" si="479"/>
        <v>0</v>
      </c>
      <c r="AR250" s="83">
        <f t="shared" si="458"/>
        <v>0</v>
      </c>
      <c r="AS250" s="83">
        <v>0</v>
      </c>
      <c r="AT250" s="83">
        <f t="shared" si="480"/>
        <v>0</v>
      </c>
      <c r="AU250" s="83">
        <v>0</v>
      </c>
      <c r="AV250" s="83">
        <f t="shared" si="481"/>
        <v>0</v>
      </c>
      <c r="AW250" s="83">
        <f t="shared" si="482"/>
        <v>0</v>
      </c>
      <c r="AX250" s="83">
        <f t="shared" si="459"/>
        <v>0</v>
      </c>
    </row>
    <row r="251" spans="2:50" ht="31" x14ac:dyDescent="0.35">
      <c r="B251" s="84" t="s">
        <v>149</v>
      </c>
      <c r="C251" s="78">
        <v>0</v>
      </c>
      <c r="D251" s="92">
        <v>0</v>
      </c>
      <c r="E251" s="78">
        <v>0</v>
      </c>
      <c r="F251" s="78">
        <f t="shared" si="460"/>
        <v>0</v>
      </c>
      <c r="G251" s="78">
        <v>0</v>
      </c>
      <c r="H251" s="78">
        <f t="shared" si="461"/>
        <v>0</v>
      </c>
      <c r="I251" s="78">
        <f t="shared" si="462"/>
        <v>0</v>
      </c>
      <c r="J251" s="78">
        <f t="shared" si="449"/>
        <v>0</v>
      </c>
      <c r="K251" s="79">
        <f t="shared" si="463"/>
        <v>0</v>
      </c>
      <c r="L251" s="79">
        <f t="shared" si="450"/>
        <v>0</v>
      </c>
      <c r="M251" s="79">
        <v>0</v>
      </c>
      <c r="N251" s="79">
        <f t="shared" si="464"/>
        <v>0</v>
      </c>
      <c r="O251" s="79">
        <v>0</v>
      </c>
      <c r="P251" s="79">
        <f t="shared" si="465"/>
        <v>0</v>
      </c>
      <c r="Q251" s="79">
        <f t="shared" si="466"/>
        <v>0</v>
      </c>
      <c r="R251" s="79">
        <f t="shared" si="451"/>
        <v>0</v>
      </c>
      <c r="S251" s="80">
        <f t="shared" si="467"/>
        <v>0</v>
      </c>
      <c r="T251" s="80">
        <f t="shared" si="452"/>
        <v>0</v>
      </c>
      <c r="U251" s="80">
        <v>0</v>
      </c>
      <c r="V251" s="80">
        <f t="shared" si="468"/>
        <v>0</v>
      </c>
      <c r="W251" s="80">
        <v>0</v>
      </c>
      <c r="X251" s="80">
        <f t="shared" si="469"/>
        <v>0</v>
      </c>
      <c r="Y251" s="80">
        <f t="shared" si="470"/>
        <v>0</v>
      </c>
      <c r="Z251" s="80">
        <f t="shared" si="453"/>
        <v>0</v>
      </c>
      <c r="AA251" s="81">
        <f t="shared" si="471"/>
        <v>0</v>
      </c>
      <c r="AB251" s="81">
        <f t="shared" si="454"/>
        <v>0</v>
      </c>
      <c r="AC251" s="81">
        <v>0</v>
      </c>
      <c r="AD251" s="81">
        <f t="shared" si="472"/>
        <v>0</v>
      </c>
      <c r="AE251" s="81">
        <v>0</v>
      </c>
      <c r="AF251" s="81">
        <f t="shared" si="473"/>
        <v>0</v>
      </c>
      <c r="AG251" s="81">
        <f t="shared" si="474"/>
        <v>0</v>
      </c>
      <c r="AH251" s="81">
        <f t="shared" si="455"/>
        <v>0</v>
      </c>
      <c r="AI251" s="82">
        <f t="shared" si="475"/>
        <v>0</v>
      </c>
      <c r="AJ251" s="82">
        <f t="shared" si="456"/>
        <v>0</v>
      </c>
      <c r="AK251" s="82">
        <v>0</v>
      </c>
      <c r="AL251" s="82">
        <f t="shared" si="476"/>
        <v>0</v>
      </c>
      <c r="AM251" s="82">
        <v>0</v>
      </c>
      <c r="AN251" s="82">
        <f t="shared" si="477"/>
        <v>0</v>
      </c>
      <c r="AO251" s="82">
        <f t="shared" si="478"/>
        <v>0</v>
      </c>
      <c r="AP251" s="82">
        <f t="shared" si="457"/>
        <v>0</v>
      </c>
      <c r="AQ251" s="83">
        <f t="shared" si="479"/>
        <v>0</v>
      </c>
      <c r="AR251" s="83">
        <f t="shared" si="458"/>
        <v>0</v>
      </c>
      <c r="AS251" s="83">
        <v>0</v>
      </c>
      <c r="AT251" s="83">
        <f t="shared" si="480"/>
        <v>0</v>
      </c>
      <c r="AU251" s="83">
        <v>0</v>
      </c>
      <c r="AV251" s="83">
        <f t="shared" si="481"/>
        <v>0</v>
      </c>
      <c r="AW251" s="83">
        <f t="shared" si="482"/>
        <v>0</v>
      </c>
      <c r="AX251" s="83">
        <f t="shared" si="459"/>
        <v>0</v>
      </c>
    </row>
    <row r="252" spans="2:50" x14ac:dyDescent="0.35">
      <c r="B252" s="12" t="s">
        <v>27</v>
      </c>
      <c r="C252" s="85">
        <f>SUM(C235:C251)</f>
        <v>6020.5194239029915</v>
      </c>
      <c r="D252" s="93">
        <f t="shared" ref="D252:E252" si="483">SUM(D235:D251)</f>
        <v>6020.5194239029879</v>
      </c>
      <c r="E252" s="85">
        <f t="shared" si="483"/>
        <v>7.159557787999999</v>
      </c>
      <c r="F252" s="85">
        <v>7.1599862339999998</v>
      </c>
      <c r="G252" s="85">
        <f t="shared" ref="G252:M252" si="484">SUM(G235:G251)</f>
        <v>0</v>
      </c>
      <c r="H252" s="85">
        <f t="shared" si="484"/>
        <v>0</v>
      </c>
      <c r="I252" s="85">
        <f t="shared" si="484"/>
        <v>6027.6789816909913</v>
      </c>
      <c r="J252" s="85">
        <f t="shared" si="484"/>
        <v>6027.6794101369887</v>
      </c>
      <c r="K252" s="86">
        <f t="shared" si="484"/>
        <v>6027.6789816909913</v>
      </c>
      <c r="L252" s="86">
        <f t="shared" si="484"/>
        <v>6027.6794101369887</v>
      </c>
      <c r="M252" s="86">
        <f t="shared" si="484"/>
        <v>70.749808860999991</v>
      </c>
      <c r="N252" s="86">
        <v>70.744538980999991</v>
      </c>
      <c r="O252" s="86">
        <f t="shared" ref="O252:U252" si="485">SUM(O235:O251)</f>
        <v>0</v>
      </c>
      <c r="P252" s="86">
        <f t="shared" si="485"/>
        <v>0</v>
      </c>
      <c r="Q252" s="86">
        <f t="shared" si="485"/>
        <v>6098.4287905519914</v>
      </c>
      <c r="R252" s="86">
        <f t="shared" si="485"/>
        <v>6098.4239491179887</v>
      </c>
      <c r="S252" s="87">
        <f t="shared" si="485"/>
        <v>6098.4287905519914</v>
      </c>
      <c r="T252" s="87">
        <f t="shared" si="485"/>
        <v>6098.4239491179887</v>
      </c>
      <c r="U252" s="87">
        <f t="shared" si="485"/>
        <v>226.01862930199999</v>
      </c>
      <c r="V252" s="87">
        <v>226.02</v>
      </c>
      <c r="W252" s="87">
        <f t="shared" ref="W252:AC252" si="486">SUM(W235:W251)</f>
        <v>0</v>
      </c>
      <c r="X252" s="87">
        <f t="shared" si="486"/>
        <v>0</v>
      </c>
      <c r="Y252" s="87">
        <f t="shared" si="486"/>
        <v>6324.447419853992</v>
      </c>
      <c r="Z252" s="87">
        <f t="shared" si="486"/>
        <v>6324.4439491179883</v>
      </c>
      <c r="AA252" s="88">
        <f t="shared" si="486"/>
        <v>6324.447419853992</v>
      </c>
      <c r="AB252" s="88">
        <f t="shared" si="486"/>
        <v>6324.4439491179883</v>
      </c>
      <c r="AC252" s="88">
        <f t="shared" si="486"/>
        <v>158.41999999999999</v>
      </c>
      <c r="AD252" s="88">
        <v>158.41999999999996</v>
      </c>
      <c r="AE252" s="88">
        <f t="shared" ref="AE252:AK252" si="487">SUM(AE235:AE251)</f>
        <v>0</v>
      </c>
      <c r="AF252" s="88">
        <f t="shared" si="487"/>
        <v>0</v>
      </c>
      <c r="AG252" s="88">
        <f t="shared" si="487"/>
        <v>6482.867419853992</v>
      </c>
      <c r="AH252" s="88">
        <f t="shared" si="487"/>
        <v>6482.8639491179883</v>
      </c>
      <c r="AI252" s="89">
        <f t="shared" si="487"/>
        <v>6482.867419853992</v>
      </c>
      <c r="AJ252" s="89">
        <f t="shared" si="487"/>
        <v>6482.8639491179883</v>
      </c>
      <c r="AK252" s="89">
        <f t="shared" si="487"/>
        <v>324.18</v>
      </c>
      <c r="AL252" s="89">
        <v>301.75</v>
      </c>
      <c r="AM252" s="89">
        <f t="shared" ref="AM252:AS252" si="488">SUM(AM235:AM251)</f>
        <v>0</v>
      </c>
      <c r="AN252" s="89">
        <f t="shared" si="488"/>
        <v>0</v>
      </c>
      <c r="AO252" s="89">
        <f t="shared" si="488"/>
        <v>6807.0474198539923</v>
      </c>
      <c r="AP252" s="89">
        <f t="shared" si="488"/>
        <v>6784.6139491179883</v>
      </c>
      <c r="AQ252" s="90">
        <f t="shared" si="488"/>
        <v>6807.0474198539923</v>
      </c>
      <c r="AR252" s="90">
        <f t="shared" si="488"/>
        <v>6784.6139491179883</v>
      </c>
      <c r="AS252" s="90">
        <f t="shared" si="488"/>
        <v>343.23</v>
      </c>
      <c r="AT252" s="90">
        <v>220.27</v>
      </c>
      <c r="AU252" s="90">
        <f t="shared" ref="AU252:AX252" si="489">SUM(AU235:AU251)</f>
        <v>0</v>
      </c>
      <c r="AV252" s="90">
        <f t="shared" si="489"/>
        <v>0</v>
      </c>
      <c r="AW252" s="90">
        <f t="shared" si="489"/>
        <v>7150.2774198539919</v>
      </c>
      <c r="AX252" s="90">
        <f t="shared" si="489"/>
        <v>7004.8839491179888</v>
      </c>
    </row>
    <row r="253" spans="2:50" s="77" customFormat="1" x14ac:dyDescent="0.35">
      <c r="B253" s="70" t="s">
        <v>160</v>
      </c>
      <c r="C253" s="71"/>
      <c r="D253" s="71"/>
      <c r="E253" s="71"/>
      <c r="F253" s="71"/>
      <c r="G253" s="71"/>
      <c r="H253" s="71"/>
      <c r="I253" s="71"/>
      <c r="J253" s="71"/>
      <c r="K253" s="72"/>
      <c r="L253" s="72"/>
      <c r="M253" s="72"/>
      <c r="N253" s="72"/>
      <c r="O253" s="72"/>
      <c r="P253" s="72"/>
      <c r="Q253" s="72"/>
      <c r="R253" s="72"/>
      <c r="S253" s="73"/>
      <c r="T253" s="73"/>
      <c r="U253" s="73"/>
      <c r="V253" s="73"/>
      <c r="W253" s="73"/>
      <c r="X253" s="73"/>
      <c r="Y253" s="73"/>
      <c r="Z253" s="73"/>
      <c r="AA253" s="74"/>
      <c r="AB253" s="74"/>
      <c r="AC253" s="74"/>
      <c r="AD253" s="74"/>
      <c r="AE253" s="74"/>
      <c r="AF253" s="74"/>
      <c r="AG253" s="74"/>
      <c r="AH253" s="74"/>
      <c r="AI253" s="75"/>
      <c r="AJ253" s="75"/>
      <c r="AK253" s="75"/>
      <c r="AL253" s="75"/>
      <c r="AM253" s="75"/>
      <c r="AN253" s="75"/>
      <c r="AO253" s="75"/>
      <c r="AP253" s="75"/>
      <c r="AQ253" s="76"/>
      <c r="AR253" s="76"/>
      <c r="AS253" s="76"/>
      <c r="AT253" s="76"/>
      <c r="AU253" s="76"/>
      <c r="AV253" s="76"/>
      <c r="AW253" s="76"/>
      <c r="AX253" s="76"/>
    </row>
    <row r="254" spans="2:50" x14ac:dyDescent="0.35">
      <c r="B254" s="7" t="s">
        <v>133</v>
      </c>
      <c r="C254" s="78">
        <v>20.516845392948518</v>
      </c>
      <c r="D254" s="92">
        <v>20.516845392948518</v>
      </c>
      <c r="E254" s="78">
        <v>0</v>
      </c>
      <c r="F254" s="78">
        <f>IFERROR(E254/E$271*F$271,0)</f>
        <v>0</v>
      </c>
      <c r="G254" s="78">
        <v>0</v>
      </c>
      <c r="H254" s="78">
        <f>G254</f>
        <v>0</v>
      </c>
      <c r="I254" s="78">
        <f>C254+E254-G254</f>
        <v>20.516845392948518</v>
      </c>
      <c r="J254" s="78">
        <f t="shared" ref="J254:J270" si="490">D254+F254-H254</f>
        <v>20.516845392948518</v>
      </c>
      <c r="K254" s="79">
        <f>I254</f>
        <v>20.516845392948518</v>
      </c>
      <c r="L254" s="79">
        <f t="shared" ref="L254:L270" si="491">J254</f>
        <v>20.516845392948518</v>
      </c>
      <c r="M254" s="79">
        <v>3.1293089999999998E-3</v>
      </c>
      <c r="N254" s="79">
        <f>IFERROR(M254/M$271*N$271,0)</f>
        <v>3.1299418915110766E-3</v>
      </c>
      <c r="O254" s="79">
        <v>0</v>
      </c>
      <c r="P254" s="79">
        <f>O254</f>
        <v>0</v>
      </c>
      <c r="Q254" s="79">
        <f>K254+M254-O254</f>
        <v>20.519974701948517</v>
      </c>
      <c r="R254" s="79">
        <f t="shared" ref="R254:R270" si="492">L254+N254-P254</f>
        <v>20.51997533484003</v>
      </c>
      <c r="S254" s="80">
        <f>Q254</f>
        <v>20.519974701948517</v>
      </c>
      <c r="T254" s="80">
        <f t="shared" ref="T254:T270" si="493">R254</f>
        <v>20.51997533484003</v>
      </c>
      <c r="U254" s="80">
        <v>0</v>
      </c>
      <c r="V254" s="80">
        <f>IFERROR(U254/U$271*V$271,0)</f>
        <v>0</v>
      </c>
      <c r="W254" s="80">
        <v>0</v>
      </c>
      <c r="X254" s="80">
        <f>W254</f>
        <v>0</v>
      </c>
      <c r="Y254" s="80">
        <f>S254+U254-W254</f>
        <v>20.519974701948517</v>
      </c>
      <c r="Z254" s="80">
        <f t="shared" ref="Z254:Z270" si="494">T254+V254-X254</f>
        <v>20.51997533484003</v>
      </c>
      <c r="AA254" s="81">
        <f>Y254</f>
        <v>20.519974701948517</v>
      </c>
      <c r="AB254" s="81">
        <f t="shared" ref="AB254:AB270" si="495">Z254</f>
        <v>20.51997533484003</v>
      </c>
      <c r="AC254" s="81">
        <v>0</v>
      </c>
      <c r="AD254" s="81">
        <f>IFERROR(AC254/AC$271*AD$271,0)</f>
        <v>0</v>
      </c>
      <c r="AE254" s="81">
        <v>0</v>
      </c>
      <c r="AF254" s="81">
        <f>AE254</f>
        <v>0</v>
      </c>
      <c r="AG254" s="81">
        <f>AA254+AC254-AE254</f>
        <v>20.519974701948517</v>
      </c>
      <c r="AH254" s="81">
        <f t="shared" ref="AH254:AH270" si="496">AB254+AD254-AF254</f>
        <v>20.51997533484003</v>
      </c>
      <c r="AI254" s="82">
        <f>AG254</f>
        <v>20.519974701948517</v>
      </c>
      <c r="AJ254" s="82">
        <f t="shared" ref="AJ254:AJ270" si="497">AH254</f>
        <v>20.51997533484003</v>
      </c>
      <c r="AK254" s="82">
        <v>0</v>
      </c>
      <c r="AL254" s="82">
        <f>IFERROR(AK254/AK$271*AL$271,0)</f>
        <v>0</v>
      </c>
      <c r="AM254" s="82">
        <v>0</v>
      </c>
      <c r="AN254" s="82">
        <f>AM254</f>
        <v>0</v>
      </c>
      <c r="AO254" s="82">
        <f>AI254+AK254-AM254</f>
        <v>20.519974701948517</v>
      </c>
      <c r="AP254" s="82">
        <f t="shared" ref="AP254:AP270" si="498">AJ254+AL254-AN254</f>
        <v>20.51997533484003</v>
      </c>
      <c r="AQ254" s="83">
        <f>AO254</f>
        <v>20.519974701948517</v>
      </c>
      <c r="AR254" s="83">
        <f t="shared" ref="AR254:AR270" si="499">AP254</f>
        <v>20.51997533484003</v>
      </c>
      <c r="AS254" s="83">
        <v>0</v>
      </c>
      <c r="AT254" s="83">
        <f>IFERROR(AS254/AS$271*AT$271,0)</f>
        <v>0</v>
      </c>
      <c r="AU254" s="83">
        <v>0</v>
      </c>
      <c r="AV254" s="83">
        <f>AU254</f>
        <v>0</v>
      </c>
      <c r="AW254" s="83">
        <f>AQ254+AS254-AU254</f>
        <v>20.519974701948517</v>
      </c>
      <c r="AX254" s="83">
        <f t="shared" ref="AX254:AX270" si="500">AR254+AT254-AV254</f>
        <v>20.51997533484003</v>
      </c>
    </row>
    <row r="255" spans="2:50" x14ac:dyDescent="0.35">
      <c r="B255" s="7" t="s">
        <v>134</v>
      </c>
      <c r="C255" s="78">
        <v>125.69166229228557</v>
      </c>
      <c r="D255" s="92">
        <v>125.69166229228557</v>
      </c>
      <c r="E255" s="78">
        <v>2.200032668</v>
      </c>
      <c r="F255" s="78">
        <f t="shared" ref="F255:F270" si="501">IFERROR(E255/E$271*F$271,0)</f>
        <v>2.1860761171971737</v>
      </c>
      <c r="G255" s="78">
        <v>0</v>
      </c>
      <c r="H255" s="78">
        <f t="shared" ref="H255:H270" si="502">G255</f>
        <v>0</v>
      </c>
      <c r="I255" s="78">
        <f t="shared" ref="I255:I270" si="503">C255+E255-G255</f>
        <v>127.89169496028558</v>
      </c>
      <c r="J255" s="78">
        <f t="shared" si="490"/>
        <v>127.87773840948275</v>
      </c>
      <c r="K255" s="79">
        <f t="shared" ref="K255:K270" si="504">I255</f>
        <v>127.89169496028558</v>
      </c>
      <c r="L255" s="79">
        <f t="shared" si="491"/>
        <v>127.87773840948275</v>
      </c>
      <c r="M255" s="79">
        <v>7.6483339299999997</v>
      </c>
      <c r="N255" s="79">
        <f t="shared" ref="N255:N270" si="505">IFERROR(M255/M$271*N$271,0)</f>
        <v>7.6498807780799361</v>
      </c>
      <c r="O255" s="79">
        <v>0</v>
      </c>
      <c r="P255" s="79">
        <f t="shared" ref="P255:P270" si="506">O255</f>
        <v>0</v>
      </c>
      <c r="Q255" s="79">
        <f t="shared" ref="Q255:Q270" si="507">K255+M255-O255</f>
        <v>135.54002889028558</v>
      </c>
      <c r="R255" s="79">
        <f t="shared" si="492"/>
        <v>135.52761918756269</v>
      </c>
      <c r="S255" s="80">
        <f t="shared" ref="S255:S270" si="508">Q255</f>
        <v>135.54002889028558</v>
      </c>
      <c r="T255" s="80">
        <f t="shared" si="493"/>
        <v>135.52761918756269</v>
      </c>
      <c r="U255" s="80">
        <v>1.3633795129999999</v>
      </c>
      <c r="V255" s="80">
        <f t="shared" ref="V255:V270" si="509">IFERROR(U255/U$271*V$271,0)</f>
        <v>1.3631234198032618</v>
      </c>
      <c r="W255" s="80">
        <v>0</v>
      </c>
      <c r="X255" s="80">
        <f t="shared" ref="X255:X270" si="510">W255</f>
        <v>0</v>
      </c>
      <c r="Y255" s="80">
        <f t="shared" ref="Y255:Y270" si="511">S255+U255-W255</f>
        <v>136.9034084032856</v>
      </c>
      <c r="Z255" s="80">
        <f t="shared" si="494"/>
        <v>136.89074260736595</v>
      </c>
      <c r="AA255" s="81">
        <f t="shared" ref="AA255:AA270" si="512">Y255</f>
        <v>136.9034084032856</v>
      </c>
      <c r="AB255" s="81">
        <f t="shared" si="495"/>
        <v>136.89074260736595</v>
      </c>
      <c r="AC255" s="81">
        <v>0</v>
      </c>
      <c r="AD255" s="81">
        <f t="shared" ref="AD255:AD270" si="513">IFERROR(AC255/AC$271*AD$271,0)</f>
        <v>0</v>
      </c>
      <c r="AE255" s="81">
        <v>0</v>
      </c>
      <c r="AF255" s="81">
        <f t="shared" ref="AF255:AF270" si="514">AE255</f>
        <v>0</v>
      </c>
      <c r="AG255" s="81">
        <f t="shared" ref="AG255:AG270" si="515">AA255+AC255-AE255</f>
        <v>136.9034084032856</v>
      </c>
      <c r="AH255" s="81">
        <f t="shared" si="496"/>
        <v>136.89074260736595</v>
      </c>
      <c r="AI255" s="82">
        <f t="shared" ref="AI255:AI270" si="516">AG255</f>
        <v>136.9034084032856</v>
      </c>
      <c r="AJ255" s="82">
        <f t="shared" si="497"/>
        <v>136.89074260736595</v>
      </c>
      <c r="AK255" s="82">
        <v>0</v>
      </c>
      <c r="AL255" s="82">
        <f t="shared" ref="AL255:AL270" si="517">IFERROR(AK255/AK$271*AL$271,0)</f>
        <v>0</v>
      </c>
      <c r="AM255" s="82">
        <v>0</v>
      </c>
      <c r="AN255" s="82">
        <f t="shared" ref="AN255:AN270" si="518">AM255</f>
        <v>0</v>
      </c>
      <c r="AO255" s="82">
        <f t="shared" ref="AO255:AO270" si="519">AI255+AK255-AM255</f>
        <v>136.9034084032856</v>
      </c>
      <c r="AP255" s="82">
        <f t="shared" si="498"/>
        <v>136.89074260736595</v>
      </c>
      <c r="AQ255" s="83">
        <f t="shared" ref="AQ255:AQ270" si="520">AO255</f>
        <v>136.9034084032856</v>
      </c>
      <c r="AR255" s="83">
        <f t="shared" si="499"/>
        <v>136.89074260736595</v>
      </c>
      <c r="AS255" s="83">
        <v>0</v>
      </c>
      <c r="AT255" s="83">
        <f t="shared" ref="AT255:AT270" si="521">IFERROR(AS255/AS$271*AT$271,0)</f>
        <v>0</v>
      </c>
      <c r="AU255" s="83">
        <v>0</v>
      </c>
      <c r="AV255" s="83">
        <f t="shared" ref="AV255:AV270" si="522">AU255</f>
        <v>0</v>
      </c>
      <c r="AW255" s="83">
        <f t="shared" ref="AW255:AW270" si="523">AQ255+AS255-AU255</f>
        <v>136.9034084032856</v>
      </c>
      <c r="AX255" s="83">
        <f t="shared" si="500"/>
        <v>136.89074260736595</v>
      </c>
    </row>
    <row r="256" spans="2:50" ht="31" x14ac:dyDescent="0.35">
      <c r="B256" s="84" t="s">
        <v>135</v>
      </c>
      <c r="C256" s="78">
        <v>0</v>
      </c>
      <c r="D256" s="92">
        <v>0</v>
      </c>
      <c r="E256" s="78">
        <v>0</v>
      </c>
      <c r="F256" s="78">
        <f t="shared" si="501"/>
        <v>0</v>
      </c>
      <c r="G256" s="78">
        <v>0</v>
      </c>
      <c r="H256" s="78">
        <f t="shared" si="502"/>
        <v>0</v>
      </c>
      <c r="I256" s="78">
        <f t="shared" si="503"/>
        <v>0</v>
      </c>
      <c r="J256" s="78">
        <f t="shared" si="490"/>
        <v>0</v>
      </c>
      <c r="K256" s="79">
        <f t="shared" si="504"/>
        <v>0</v>
      </c>
      <c r="L256" s="79">
        <f t="shared" si="491"/>
        <v>0</v>
      </c>
      <c r="M256" s="79">
        <v>0</v>
      </c>
      <c r="N256" s="79">
        <f t="shared" si="505"/>
        <v>0</v>
      </c>
      <c r="O256" s="79">
        <v>0</v>
      </c>
      <c r="P256" s="79">
        <f t="shared" si="506"/>
        <v>0</v>
      </c>
      <c r="Q256" s="79">
        <f t="shared" si="507"/>
        <v>0</v>
      </c>
      <c r="R256" s="79">
        <f t="shared" si="492"/>
        <v>0</v>
      </c>
      <c r="S256" s="80">
        <f t="shared" si="508"/>
        <v>0</v>
      </c>
      <c r="T256" s="80">
        <f t="shared" si="493"/>
        <v>0</v>
      </c>
      <c r="U256" s="80">
        <v>0</v>
      </c>
      <c r="V256" s="80">
        <f t="shared" si="509"/>
        <v>0</v>
      </c>
      <c r="W256" s="80">
        <v>0</v>
      </c>
      <c r="X256" s="80">
        <f t="shared" si="510"/>
        <v>0</v>
      </c>
      <c r="Y256" s="80">
        <f t="shared" si="511"/>
        <v>0</v>
      </c>
      <c r="Z256" s="80">
        <f t="shared" si="494"/>
        <v>0</v>
      </c>
      <c r="AA256" s="81">
        <f t="shared" si="512"/>
        <v>0</v>
      </c>
      <c r="AB256" s="81">
        <f t="shared" si="495"/>
        <v>0</v>
      </c>
      <c r="AC256" s="81">
        <v>0</v>
      </c>
      <c r="AD256" s="81">
        <f t="shared" si="513"/>
        <v>0</v>
      </c>
      <c r="AE256" s="81">
        <v>0</v>
      </c>
      <c r="AF256" s="81">
        <f t="shared" si="514"/>
        <v>0</v>
      </c>
      <c r="AG256" s="81">
        <f t="shared" si="515"/>
        <v>0</v>
      </c>
      <c r="AH256" s="81">
        <f t="shared" si="496"/>
        <v>0</v>
      </c>
      <c r="AI256" s="82">
        <f t="shared" si="516"/>
        <v>0</v>
      </c>
      <c r="AJ256" s="82">
        <f t="shared" si="497"/>
        <v>0</v>
      </c>
      <c r="AK256" s="82">
        <v>0</v>
      </c>
      <c r="AL256" s="82">
        <f t="shared" si="517"/>
        <v>0</v>
      </c>
      <c r="AM256" s="82">
        <v>0</v>
      </c>
      <c r="AN256" s="82">
        <f t="shared" si="518"/>
        <v>0</v>
      </c>
      <c r="AO256" s="82">
        <f t="shared" si="519"/>
        <v>0</v>
      </c>
      <c r="AP256" s="82">
        <f t="shared" si="498"/>
        <v>0</v>
      </c>
      <c r="AQ256" s="83">
        <f t="shared" si="520"/>
        <v>0</v>
      </c>
      <c r="AR256" s="83">
        <f t="shared" si="499"/>
        <v>0</v>
      </c>
      <c r="AS256" s="83">
        <v>0</v>
      </c>
      <c r="AT256" s="83">
        <f t="shared" si="521"/>
        <v>0</v>
      </c>
      <c r="AU256" s="83">
        <v>0</v>
      </c>
      <c r="AV256" s="83">
        <f t="shared" si="522"/>
        <v>0</v>
      </c>
      <c r="AW256" s="83">
        <f t="shared" si="523"/>
        <v>0</v>
      </c>
      <c r="AX256" s="83">
        <f t="shared" si="500"/>
        <v>0</v>
      </c>
    </row>
    <row r="257" spans="2:50" x14ac:dyDescent="0.35">
      <c r="B257" s="7" t="s">
        <v>136</v>
      </c>
      <c r="C257" s="78">
        <v>100.08917698981291</v>
      </c>
      <c r="D257" s="92">
        <v>100.08917698981291</v>
      </c>
      <c r="E257" s="78">
        <v>2.9047780310000002</v>
      </c>
      <c r="F257" s="78">
        <f t="shared" si="501"/>
        <v>2.8863507218285234</v>
      </c>
      <c r="G257" s="78">
        <v>0</v>
      </c>
      <c r="H257" s="78">
        <f t="shared" si="502"/>
        <v>0</v>
      </c>
      <c r="I257" s="78">
        <f t="shared" si="503"/>
        <v>102.99395502081292</v>
      </c>
      <c r="J257" s="78">
        <f t="shared" si="490"/>
        <v>102.97552771164143</v>
      </c>
      <c r="K257" s="79">
        <f t="shared" si="504"/>
        <v>102.99395502081292</v>
      </c>
      <c r="L257" s="79">
        <f t="shared" si="491"/>
        <v>102.97552771164143</v>
      </c>
      <c r="M257" s="79">
        <v>0.80479543099999995</v>
      </c>
      <c r="N257" s="79">
        <f t="shared" si="505"/>
        <v>0.80495819798671597</v>
      </c>
      <c r="O257" s="79">
        <v>0</v>
      </c>
      <c r="P257" s="79">
        <f t="shared" si="506"/>
        <v>0</v>
      </c>
      <c r="Q257" s="79">
        <f t="shared" si="507"/>
        <v>103.79875045181292</v>
      </c>
      <c r="R257" s="79">
        <f t="shared" si="492"/>
        <v>103.78048590962815</v>
      </c>
      <c r="S257" s="80">
        <f t="shared" si="508"/>
        <v>103.79875045181292</v>
      </c>
      <c r="T257" s="80">
        <f t="shared" si="493"/>
        <v>103.78048590962815</v>
      </c>
      <c r="U257" s="80">
        <v>0.58244799999999997</v>
      </c>
      <c r="V257" s="80">
        <f t="shared" si="509"/>
        <v>0.58233859468120841</v>
      </c>
      <c r="W257" s="80">
        <v>0</v>
      </c>
      <c r="X257" s="80">
        <f t="shared" si="510"/>
        <v>0</v>
      </c>
      <c r="Y257" s="80">
        <f t="shared" si="511"/>
        <v>104.38119845181292</v>
      </c>
      <c r="Z257" s="80">
        <f t="shared" si="494"/>
        <v>104.36282450430936</v>
      </c>
      <c r="AA257" s="81">
        <f t="shared" si="512"/>
        <v>104.38119845181292</v>
      </c>
      <c r="AB257" s="81">
        <f t="shared" si="495"/>
        <v>104.36282450430936</v>
      </c>
      <c r="AC257" s="81">
        <v>0</v>
      </c>
      <c r="AD257" s="81">
        <f t="shared" si="513"/>
        <v>0</v>
      </c>
      <c r="AE257" s="81">
        <v>0</v>
      </c>
      <c r="AF257" s="81">
        <f t="shared" si="514"/>
        <v>0</v>
      </c>
      <c r="AG257" s="81">
        <f t="shared" si="515"/>
        <v>104.38119845181292</v>
      </c>
      <c r="AH257" s="81">
        <f t="shared" si="496"/>
        <v>104.36282450430936</v>
      </c>
      <c r="AI257" s="82">
        <f t="shared" si="516"/>
        <v>104.38119845181292</v>
      </c>
      <c r="AJ257" s="82">
        <f t="shared" si="497"/>
        <v>104.36282450430936</v>
      </c>
      <c r="AK257" s="82">
        <v>0</v>
      </c>
      <c r="AL257" s="82">
        <f t="shared" si="517"/>
        <v>0</v>
      </c>
      <c r="AM257" s="82">
        <v>0</v>
      </c>
      <c r="AN257" s="82">
        <f t="shared" si="518"/>
        <v>0</v>
      </c>
      <c r="AO257" s="82">
        <f t="shared" si="519"/>
        <v>104.38119845181292</v>
      </c>
      <c r="AP257" s="82">
        <f t="shared" si="498"/>
        <v>104.36282450430936</v>
      </c>
      <c r="AQ257" s="83">
        <f t="shared" si="520"/>
        <v>104.38119845181292</v>
      </c>
      <c r="AR257" s="83">
        <f t="shared" si="499"/>
        <v>104.36282450430936</v>
      </c>
      <c r="AS257" s="83">
        <v>0</v>
      </c>
      <c r="AT257" s="83">
        <f t="shared" si="521"/>
        <v>0</v>
      </c>
      <c r="AU257" s="83">
        <v>0</v>
      </c>
      <c r="AV257" s="83">
        <f t="shared" si="522"/>
        <v>0</v>
      </c>
      <c r="AW257" s="83">
        <f t="shared" si="523"/>
        <v>104.38119845181292</v>
      </c>
      <c r="AX257" s="83">
        <f t="shared" si="500"/>
        <v>104.36282450430936</v>
      </c>
    </row>
    <row r="258" spans="2:50" x14ac:dyDescent="0.35">
      <c r="B258" s="7" t="s">
        <v>137</v>
      </c>
      <c r="C258" s="78">
        <v>31.184593085665941</v>
      </c>
      <c r="D258" s="92">
        <v>31.184593085665941</v>
      </c>
      <c r="E258" s="78">
        <v>0</v>
      </c>
      <c r="F258" s="78">
        <f t="shared" si="501"/>
        <v>0</v>
      </c>
      <c r="G258" s="78">
        <v>0</v>
      </c>
      <c r="H258" s="78">
        <f t="shared" si="502"/>
        <v>0</v>
      </c>
      <c r="I258" s="78">
        <f t="shared" si="503"/>
        <v>31.184593085665941</v>
      </c>
      <c r="J258" s="78">
        <f t="shared" si="490"/>
        <v>31.184593085665941</v>
      </c>
      <c r="K258" s="79">
        <f t="shared" si="504"/>
        <v>31.184593085665941</v>
      </c>
      <c r="L258" s="79">
        <f t="shared" si="491"/>
        <v>31.184593085665941</v>
      </c>
      <c r="M258" s="79">
        <v>0.13748332099999999</v>
      </c>
      <c r="N258" s="79">
        <f t="shared" si="505"/>
        <v>0.13751112650810912</v>
      </c>
      <c r="O258" s="79">
        <v>0</v>
      </c>
      <c r="P258" s="79">
        <f t="shared" si="506"/>
        <v>0</v>
      </c>
      <c r="Q258" s="79">
        <f t="shared" si="507"/>
        <v>31.322076406665943</v>
      </c>
      <c r="R258" s="79">
        <f t="shared" si="492"/>
        <v>31.32210421217405</v>
      </c>
      <c r="S258" s="80">
        <f t="shared" si="508"/>
        <v>31.322076406665943</v>
      </c>
      <c r="T258" s="80">
        <f t="shared" si="493"/>
        <v>31.32210421217405</v>
      </c>
      <c r="U258" s="80">
        <v>0</v>
      </c>
      <c r="V258" s="80">
        <f t="shared" si="509"/>
        <v>0</v>
      </c>
      <c r="W258" s="80">
        <v>0</v>
      </c>
      <c r="X258" s="80">
        <f t="shared" si="510"/>
        <v>0</v>
      </c>
      <c r="Y258" s="80">
        <f t="shared" si="511"/>
        <v>31.322076406665943</v>
      </c>
      <c r="Z258" s="80">
        <f t="shared" si="494"/>
        <v>31.32210421217405</v>
      </c>
      <c r="AA258" s="81">
        <f t="shared" si="512"/>
        <v>31.322076406665943</v>
      </c>
      <c r="AB258" s="81">
        <f t="shared" si="495"/>
        <v>31.32210421217405</v>
      </c>
      <c r="AC258" s="81">
        <v>0</v>
      </c>
      <c r="AD258" s="81">
        <f t="shared" si="513"/>
        <v>0</v>
      </c>
      <c r="AE258" s="81">
        <v>0</v>
      </c>
      <c r="AF258" s="81">
        <f t="shared" si="514"/>
        <v>0</v>
      </c>
      <c r="AG258" s="81">
        <f t="shared" si="515"/>
        <v>31.322076406665943</v>
      </c>
      <c r="AH258" s="81">
        <f t="shared" si="496"/>
        <v>31.32210421217405</v>
      </c>
      <c r="AI258" s="82">
        <f t="shared" si="516"/>
        <v>31.322076406665943</v>
      </c>
      <c r="AJ258" s="82">
        <f t="shared" si="497"/>
        <v>31.32210421217405</v>
      </c>
      <c r="AK258" s="82">
        <v>0</v>
      </c>
      <c r="AL258" s="82">
        <f t="shared" si="517"/>
        <v>0</v>
      </c>
      <c r="AM258" s="82">
        <v>0</v>
      </c>
      <c r="AN258" s="82">
        <f t="shared" si="518"/>
        <v>0</v>
      </c>
      <c r="AO258" s="82">
        <f t="shared" si="519"/>
        <v>31.322076406665943</v>
      </c>
      <c r="AP258" s="82">
        <f t="shared" si="498"/>
        <v>31.32210421217405</v>
      </c>
      <c r="AQ258" s="83">
        <f t="shared" si="520"/>
        <v>31.322076406665943</v>
      </c>
      <c r="AR258" s="83">
        <f t="shared" si="499"/>
        <v>31.32210421217405</v>
      </c>
      <c r="AS258" s="83">
        <v>0</v>
      </c>
      <c r="AT258" s="83">
        <f t="shared" si="521"/>
        <v>0</v>
      </c>
      <c r="AU258" s="83">
        <v>0</v>
      </c>
      <c r="AV258" s="83">
        <f t="shared" si="522"/>
        <v>0</v>
      </c>
      <c r="AW258" s="83">
        <f t="shared" si="523"/>
        <v>31.322076406665943</v>
      </c>
      <c r="AX258" s="83">
        <f t="shared" si="500"/>
        <v>31.32210421217405</v>
      </c>
    </row>
    <row r="259" spans="2:50" x14ac:dyDescent="0.35">
      <c r="B259" s="7" t="s">
        <v>138</v>
      </c>
      <c r="C259" s="78">
        <v>1503.9254482324263</v>
      </c>
      <c r="D259" s="92">
        <v>1503.9238077914301</v>
      </c>
      <c r="E259" s="78">
        <v>3.0489488150000001</v>
      </c>
      <c r="F259" s="78">
        <f t="shared" si="501"/>
        <v>3.0296069162860837</v>
      </c>
      <c r="G259" s="78">
        <v>0</v>
      </c>
      <c r="H259" s="78">
        <f t="shared" si="502"/>
        <v>0</v>
      </c>
      <c r="I259" s="78">
        <f t="shared" si="503"/>
        <v>1506.9743970474262</v>
      </c>
      <c r="J259" s="78">
        <f t="shared" si="490"/>
        <v>1506.9534147077163</v>
      </c>
      <c r="K259" s="79">
        <f t="shared" si="504"/>
        <v>1506.9743970474262</v>
      </c>
      <c r="L259" s="79">
        <f t="shared" si="491"/>
        <v>1506.9534147077163</v>
      </c>
      <c r="M259" s="79">
        <v>4.9883892599999999</v>
      </c>
      <c r="N259" s="79">
        <f t="shared" si="505"/>
        <v>4.9893981438195905</v>
      </c>
      <c r="O259" s="79">
        <v>0</v>
      </c>
      <c r="P259" s="79">
        <f t="shared" si="506"/>
        <v>0</v>
      </c>
      <c r="Q259" s="79">
        <f t="shared" si="507"/>
        <v>1511.9627863074263</v>
      </c>
      <c r="R259" s="79">
        <f t="shared" si="492"/>
        <v>1511.942812851536</v>
      </c>
      <c r="S259" s="80">
        <f t="shared" si="508"/>
        <v>1511.9627863074263</v>
      </c>
      <c r="T259" s="80">
        <f t="shared" si="493"/>
        <v>1511.942812851536</v>
      </c>
      <c r="U259" s="80">
        <v>23.504045576000003</v>
      </c>
      <c r="V259" s="80">
        <f t="shared" si="509"/>
        <v>23.499630645226553</v>
      </c>
      <c r="W259" s="80">
        <v>0</v>
      </c>
      <c r="X259" s="80">
        <f t="shared" si="510"/>
        <v>0</v>
      </c>
      <c r="Y259" s="80">
        <f t="shared" si="511"/>
        <v>1535.4668318834263</v>
      </c>
      <c r="Z259" s="80">
        <f t="shared" si="494"/>
        <v>1535.4424434967625</v>
      </c>
      <c r="AA259" s="81">
        <f t="shared" si="512"/>
        <v>1535.4668318834263</v>
      </c>
      <c r="AB259" s="81">
        <f t="shared" si="495"/>
        <v>1535.4424434967625</v>
      </c>
      <c r="AC259" s="81">
        <v>103.68</v>
      </c>
      <c r="AD259" s="81">
        <f t="shared" si="513"/>
        <v>103.65525509999999</v>
      </c>
      <c r="AE259" s="81">
        <v>0</v>
      </c>
      <c r="AF259" s="81">
        <f t="shared" si="514"/>
        <v>0</v>
      </c>
      <c r="AG259" s="81">
        <f t="shared" si="515"/>
        <v>1639.1468318834263</v>
      </c>
      <c r="AH259" s="81">
        <f t="shared" si="496"/>
        <v>1639.0976985967625</v>
      </c>
      <c r="AI259" s="82">
        <f t="shared" si="516"/>
        <v>1639.1468318834263</v>
      </c>
      <c r="AJ259" s="82">
        <f t="shared" si="497"/>
        <v>1639.0976985967625</v>
      </c>
      <c r="AK259" s="82">
        <v>7.57</v>
      </c>
      <c r="AL259" s="82">
        <f t="shared" si="517"/>
        <v>7.57</v>
      </c>
      <c r="AM259" s="82">
        <v>0</v>
      </c>
      <c r="AN259" s="82">
        <f t="shared" si="518"/>
        <v>0</v>
      </c>
      <c r="AO259" s="82">
        <f t="shared" si="519"/>
        <v>1646.7168318834263</v>
      </c>
      <c r="AP259" s="82">
        <f t="shared" si="498"/>
        <v>1646.6676985967624</v>
      </c>
      <c r="AQ259" s="83">
        <f t="shared" si="520"/>
        <v>1646.7168318834263</v>
      </c>
      <c r="AR259" s="83">
        <f t="shared" si="499"/>
        <v>1646.6676985967624</v>
      </c>
      <c r="AS259" s="83">
        <v>222.39</v>
      </c>
      <c r="AT259" s="83">
        <f t="shared" si="521"/>
        <v>89.240000000000009</v>
      </c>
      <c r="AU259" s="83">
        <v>0</v>
      </c>
      <c r="AV259" s="83">
        <f t="shared" si="522"/>
        <v>0</v>
      </c>
      <c r="AW259" s="83">
        <f t="shared" si="523"/>
        <v>1869.1068318834264</v>
      </c>
      <c r="AX259" s="83">
        <f t="shared" si="500"/>
        <v>1735.9076985967624</v>
      </c>
    </row>
    <row r="260" spans="2:50" x14ac:dyDescent="0.35">
      <c r="B260" s="7" t="s">
        <v>139</v>
      </c>
      <c r="C260" s="78">
        <v>0</v>
      </c>
      <c r="D260" s="92">
        <v>0</v>
      </c>
      <c r="E260" s="78">
        <v>0</v>
      </c>
      <c r="F260" s="78">
        <f t="shared" si="501"/>
        <v>0</v>
      </c>
      <c r="G260" s="78">
        <v>0</v>
      </c>
      <c r="H260" s="78">
        <f t="shared" si="502"/>
        <v>0</v>
      </c>
      <c r="I260" s="78">
        <f t="shared" si="503"/>
        <v>0</v>
      </c>
      <c r="J260" s="78">
        <f t="shared" si="490"/>
        <v>0</v>
      </c>
      <c r="K260" s="79">
        <f t="shared" si="504"/>
        <v>0</v>
      </c>
      <c r="L260" s="79">
        <f t="shared" si="491"/>
        <v>0</v>
      </c>
      <c r="M260" s="79">
        <v>0</v>
      </c>
      <c r="N260" s="79">
        <f t="shared" si="505"/>
        <v>0</v>
      </c>
      <c r="O260" s="79">
        <v>0</v>
      </c>
      <c r="P260" s="79">
        <f t="shared" si="506"/>
        <v>0</v>
      </c>
      <c r="Q260" s="79">
        <f t="shared" si="507"/>
        <v>0</v>
      </c>
      <c r="R260" s="79">
        <f t="shared" si="492"/>
        <v>0</v>
      </c>
      <c r="S260" s="80">
        <f t="shared" si="508"/>
        <v>0</v>
      </c>
      <c r="T260" s="80">
        <f t="shared" si="493"/>
        <v>0</v>
      </c>
      <c r="U260" s="80">
        <v>0</v>
      </c>
      <c r="V260" s="80">
        <f t="shared" si="509"/>
        <v>0</v>
      </c>
      <c r="W260" s="80">
        <v>0</v>
      </c>
      <c r="X260" s="80">
        <f t="shared" si="510"/>
        <v>0</v>
      </c>
      <c r="Y260" s="80">
        <f t="shared" si="511"/>
        <v>0</v>
      </c>
      <c r="Z260" s="80">
        <f t="shared" si="494"/>
        <v>0</v>
      </c>
      <c r="AA260" s="81">
        <f t="shared" si="512"/>
        <v>0</v>
      </c>
      <c r="AB260" s="81">
        <f t="shared" si="495"/>
        <v>0</v>
      </c>
      <c r="AC260" s="81">
        <v>0</v>
      </c>
      <c r="AD260" s="81">
        <f t="shared" si="513"/>
        <v>0</v>
      </c>
      <c r="AE260" s="81">
        <v>0</v>
      </c>
      <c r="AF260" s="81">
        <f t="shared" si="514"/>
        <v>0</v>
      </c>
      <c r="AG260" s="81">
        <f t="shared" si="515"/>
        <v>0</v>
      </c>
      <c r="AH260" s="81">
        <f t="shared" si="496"/>
        <v>0</v>
      </c>
      <c r="AI260" s="82">
        <f t="shared" si="516"/>
        <v>0</v>
      </c>
      <c r="AJ260" s="82">
        <f t="shared" si="497"/>
        <v>0</v>
      </c>
      <c r="AK260" s="82">
        <v>0</v>
      </c>
      <c r="AL260" s="82">
        <f t="shared" si="517"/>
        <v>0</v>
      </c>
      <c r="AM260" s="82">
        <v>0</v>
      </c>
      <c r="AN260" s="82">
        <f t="shared" si="518"/>
        <v>0</v>
      </c>
      <c r="AO260" s="82">
        <f t="shared" si="519"/>
        <v>0</v>
      </c>
      <c r="AP260" s="82">
        <f t="shared" si="498"/>
        <v>0</v>
      </c>
      <c r="AQ260" s="83">
        <f t="shared" si="520"/>
        <v>0</v>
      </c>
      <c r="AR260" s="83">
        <f t="shared" si="499"/>
        <v>0</v>
      </c>
      <c r="AS260" s="83">
        <v>0</v>
      </c>
      <c r="AT260" s="83">
        <f t="shared" si="521"/>
        <v>0</v>
      </c>
      <c r="AU260" s="83">
        <v>0</v>
      </c>
      <c r="AV260" s="83">
        <f t="shared" si="522"/>
        <v>0</v>
      </c>
      <c r="AW260" s="83">
        <f t="shared" si="523"/>
        <v>0</v>
      </c>
      <c r="AX260" s="83">
        <f t="shared" si="500"/>
        <v>0</v>
      </c>
    </row>
    <row r="261" spans="2:50" x14ac:dyDescent="0.35">
      <c r="B261" s="7" t="s">
        <v>140</v>
      </c>
      <c r="C261" s="78">
        <v>0</v>
      </c>
      <c r="D261" s="92">
        <v>0</v>
      </c>
      <c r="E261" s="78">
        <v>0</v>
      </c>
      <c r="F261" s="78">
        <f t="shared" si="501"/>
        <v>0</v>
      </c>
      <c r="G261" s="78">
        <v>0</v>
      </c>
      <c r="H261" s="78">
        <f t="shared" si="502"/>
        <v>0</v>
      </c>
      <c r="I261" s="78">
        <f t="shared" si="503"/>
        <v>0</v>
      </c>
      <c r="J261" s="78">
        <f t="shared" si="490"/>
        <v>0</v>
      </c>
      <c r="K261" s="79">
        <f t="shared" si="504"/>
        <v>0</v>
      </c>
      <c r="L261" s="79">
        <f t="shared" si="491"/>
        <v>0</v>
      </c>
      <c r="M261" s="79">
        <v>0</v>
      </c>
      <c r="N261" s="79">
        <f t="shared" si="505"/>
        <v>0</v>
      </c>
      <c r="O261" s="79">
        <v>0</v>
      </c>
      <c r="P261" s="79">
        <f t="shared" si="506"/>
        <v>0</v>
      </c>
      <c r="Q261" s="79">
        <f t="shared" si="507"/>
        <v>0</v>
      </c>
      <c r="R261" s="79">
        <f t="shared" si="492"/>
        <v>0</v>
      </c>
      <c r="S261" s="80">
        <f t="shared" si="508"/>
        <v>0</v>
      </c>
      <c r="T261" s="80">
        <f t="shared" si="493"/>
        <v>0</v>
      </c>
      <c r="U261" s="80">
        <v>0</v>
      </c>
      <c r="V261" s="80">
        <f t="shared" si="509"/>
        <v>0</v>
      </c>
      <c r="W261" s="80">
        <v>0</v>
      </c>
      <c r="X261" s="80">
        <f t="shared" si="510"/>
        <v>0</v>
      </c>
      <c r="Y261" s="80">
        <f t="shared" si="511"/>
        <v>0</v>
      </c>
      <c r="Z261" s="80">
        <f t="shared" si="494"/>
        <v>0</v>
      </c>
      <c r="AA261" s="81">
        <f t="shared" si="512"/>
        <v>0</v>
      </c>
      <c r="AB261" s="81">
        <f t="shared" si="495"/>
        <v>0</v>
      </c>
      <c r="AC261" s="81">
        <v>0</v>
      </c>
      <c r="AD261" s="81">
        <f t="shared" si="513"/>
        <v>0</v>
      </c>
      <c r="AE261" s="81">
        <v>0</v>
      </c>
      <c r="AF261" s="81">
        <f t="shared" si="514"/>
        <v>0</v>
      </c>
      <c r="AG261" s="81">
        <f t="shared" si="515"/>
        <v>0</v>
      </c>
      <c r="AH261" s="81">
        <f t="shared" si="496"/>
        <v>0</v>
      </c>
      <c r="AI261" s="82">
        <f t="shared" si="516"/>
        <v>0</v>
      </c>
      <c r="AJ261" s="82">
        <f t="shared" si="497"/>
        <v>0</v>
      </c>
      <c r="AK261" s="82">
        <v>0</v>
      </c>
      <c r="AL261" s="82">
        <f t="shared" si="517"/>
        <v>0</v>
      </c>
      <c r="AM261" s="82">
        <v>0</v>
      </c>
      <c r="AN261" s="82">
        <f t="shared" si="518"/>
        <v>0</v>
      </c>
      <c r="AO261" s="82">
        <f t="shared" si="519"/>
        <v>0</v>
      </c>
      <c r="AP261" s="82">
        <f t="shared" si="498"/>
        <v>0</v>
      </c>
      <c r="AQ261" s="83">
        <f t="shared" si="520"/>
        <v>0</v>
      </c>
      <c r="AR261" s="83">
        <f t="shared" si="499"/>
        <v>0</v>
      </c>
      <c r="AS261" s="83">
        <v>0</v>
      </c>
      <c r="AT261" s="83">
        <f t="shared" si="521"/>
        <v>0</v>
      </c>
      <c r="AU261" s="83">
        <v>0</v>
      </c>
      <c r="AV261" s="83">
        <f t="shared" si="522"/>
        <v>0</v>
      </c>
      <c r="AW261" s="83">
        <f t="shared" si="523"/>
        <v>0</v>
      </c>
      <c r="AX261" s="83">
        <f t="shared" si="500"/>
        <v>0</v>
      </c>
    </row>
    <row r="262" spans="2:50" x14ac:dyDescent="0.35">
      <c r="B262" s="7" t="s">
        <v>141</v>
      </c>
      <c r="C262" s="78">
        <v>38.699635724657121</v>
      </c>
      <c r="D262" s="92">
        <v>38.699635724657121</v>
      </c>
      <c r="E262" s="78">
        <v>2.9278183999999999E-2</v>
      </c>
      <c r="F262" s="78">
        <f t="shared" si="501"/>
        <v>2.9092449275077953E-2</v>
      </c>
      <c r="G262" s="78">
        <v>0</v>
      </c>
      <c r="H262" s="78">
        <f t="shared" si="502"/>
        <v>0</v>
      </c>
      <c r="I262" s="78">
        <f t="shared" si="503"/>
        <v>38.72891390865712</v>
      </c>
      <c r="J262" s="78">
        <f t="shared" si="490"/>
        <v>38.728728173932197</v>
      </c>
      <c r="K262" s="79">
        <f t="shared" si="504"/>
        <v>38.72891390865712</v>
      </c>
      <c r="L262" s="79">
        <f t="shared" si="491"/>
        <v>38.728728173932197</v>
      </c>
      <c r="M262" s="79">
        <v>0</v>
      </c>
      <c r="N262" s="79">
        <f t="shared" si="505"/>
        <v>0</v>
      </c>
      <c r="O262" s="79">
        <v>0</v>
      </c>
      <c r="P262" s="79">
        <f t="shared" si="506"/>
        <v>0</v>
      </c>
      <c r="Q262" s="79">
        <f t="shared" si="507"/>
        <v>38.72891390865712</v>
      </c>
      <c r="R262" s="79">
        <f t="shared" si="492"/>
        <v>38.728728173932197</v>
      </c>
      <c r="S262" s="80">
        <f t="shared" si="508"/>
        <v>38.72891390865712</v>
      </c>
      <c r="T262" s="80">
        <f t="shared" si="493"/>
        <v>38.728728173932197</v>
      </c>
      <c r="U262" s="80">
        <v>0</v>
      </c>
      <c r="V262" s="80">
        <f t="shared" si="509"/>
        <v>0</v>
      </c>
      <c r="W262" s="80">
        <v>0</v>
      </c>
      <c r="X262" s="80">
        <f t="shared" si="510"/>
        <v>0</v>
      </c>
      <c r="Y262" s="80">
        <f t="shared" si="511"/>
        <v>38.72891390865712</v>
      </c>
      <c r="Z262" s="80">
        <f t="shared" si="494"/>
        <v>38.728728173932197</v>
      </c>
      <c r="AA262" s="81">
        <f t="shared" si="512"/>
        <v>38.72891390865712</v>
      </c>
      <c r="AB262" s="81">
        <f t="shared" si="495"/>
        <v>38.728728173932197</v>
      </c>
      <c r="AC262" s="81">
        <v>0</v>
      </c>
      <c r="AD262" s="81">
        <f t="shared" si="513"/>
        <v>0</v>
      </c>
      <c r="AE262" s="81">
        <v>0</v>
      </c>
      <c r="AF262" s="81">
        <f t="shared" si="514"/>
        <v>0</v>
      </c>
      <c r="AG262" s="81">
        <f t="shared" si="515"/>
        <v>38.72891390865712</v>
      </c>
      <c r="AH262" s="81">
        <f t="shared" si="496"/>
        <v>38.728728173932197</v>
      </c>
      <c r="AI262" s="82">
        <f t="shared" si="516"/>
        <v>38.72891390865712</v>
      </c>
      <c r="AJ262" s="82">
        <f t="shared" si="497"/>
        <v>38.728728173932197</v>
      </c>
      <c r="AK262" s="82">
        <v>0</v>
      </c>
      <c r="AL262" s="82">
        <f t="shared" si="517"/>
        <v>0</v>
      </c>
      <c r="AM262" s="82">
        <v>0</v>
      </c>
      <c r="AN262" s="82">
        <f t="shared" si="518"/>
        <v>0</v>
      </c>
      <c r="AO262" s="82">
        <f t="shared" si="519"/>
        <v>38.72891390865712</v>
      </c>
      <c r="AP262" s="82">
        <f t="shared" si="498"/>
        <v>38.728728173932197</v>
      </c>
      <c r="AQ262" s="83">
        <f t="shared" si="520"/>
        <v>38.72891390865712</v>
      </c>
      <c r="AR262" s="83">
        <f t="shared" si="499"/>
        <v>38.728728173932197</v>
      </c>
      <c r="AS262" s="83">
        <v>0</v>
      </c>
      <c r="AT262" s="83">
        <f t="shared" si="521"/>
        <v>0</v>
      </c>
      <c r="AU262" s="83">
        <v>0</v>
      </c>
      <c r="AV262" s="83">
        <f t="shared" si="522"/>
        <v>0</v>
      </c>
      <c r="AW262" s="83">
        <f t="shared" si="523"/>
        <v>38.72891390865712</v>
      </c>
      <c r="AX262" s="83">
        <f t="shared" si="500"/>
        <v>38.728728173932197</v>
      </c>
    </row>
    <row r="263" spans="2:50" x14ac:dyDescent="0.35">
      <c r="B263" s="7" t="s">
        <v>142</v>
      </c>
      <c r="C263" s="78">
        <v>0</v>
      </c>
      <c r="D263" s="92">
        <v>0</v>
      </c>
      <c r="E263" s="78">
        <v>0</v>
      </c>
      <c r="F263" s="78">
        <f t="shared" si="501"/>
        <v>0</v>
      </c>
      <c r="G263" s="78">
        <v>0</v>
      </c>
      <c r="H263" s="78">
        <f t="shared" si="502"/>
        <v>0</v>
      </c>
      <c r="I263" s="78">
        <f t="shared" si="503"/>
        <v>0</v>
      </c>
      <c r="J263" s="78">
        <f t="shared" si="490"/>
        <v>0</v>
      </c>
      <c r="K263" s="79">
        <f t="shared" si="504"/>
        <v>0</v>
      </c>
      <c r="L263" s="79">
        <f t="shared" si="491"/>
        <v>0</v>
      </c>
      <c r="M263" s="79">
        <v>0</v>
      </c>
      <c r="N263" s="79">
        <f t="shared" si="505"/>
        <v>0</v>
      </c>
      <c r="O263" s="79">
        <v>0</v>
      </c>
      <c r="P263" s="79">
        <f t="shared" si="506"/>
        <v>0</v>
      </c>
      <c r="Q263" s="79">
        <f t="shared" si="507"/>
        <v>0</v>
      </c>
      <c r="R263" s="79">
        <f t="shared" si="492"/>
        <v>0</v>
      </c>
      <c r="S263" s="80">
        <f t="shared" si="508"/>
        <v>0</v>
      </c>
      <c r="T263" s="80">
        <f t="shared" si="493"/>
        <v>0</v>
      </c>
      <c r="U263" s="80">
        <v>0</v>
      </c>
      <c r="V263" s="80">
        <f t="shared" si="509"/>
        <v>0</v>
      </c>
      <c r="W263" s="80">
        <v>0</v>
      </c>
      <c r="X263" s="80">
        <f t="shared" si="510"/>
        <v>0</v>
      </c>
      <c r="Y263" s="80">
        <f t="shared" si="511"/>
        <v>0</v>
      </c>
      <c r="Z263" s="80">
        <f t="shared" si="494"/>
        <v>0</v>
      </c>
      <c r="AA263" s="81">
        <f t="shared" si="512"/>
        <v>0</v>
      </c>
      <c r="AB263" s="81">
        <f t="shared" si="495"/>
        <v>0</v>
      </c>
      <c r="AC263" s="81">
        <v>0</v>
      </c>
      <c r="AD263" s="81">
        <f t="shared" si="513"/>
        <v>0</v>
      </c>
      <c r="AE263" s="81">
        <v>0</v>
      </c>
      <c r="AF263" s="81">
        <f t="shared" si="514"/>
        <v>0</v>
      </c>
      <c r="AG263" s="81">
        <f t="shared" si="515"/>
        <v>0</v>
      </c>
      <c r="AH263" s="81">
        <f t="shared" si="496"/>
        <v>0</v>
      </c>
      <c r="AI263" s="82">
        <f t="shared" si="516"/>
        <v>0</v>
      </c>
      <c r="AJ263" s="82">
        <f t="shared" si="497"/>
        <v>0</v>
      </c>
      <c r="AK263" s="82">
        <v>0</v>
      </c>
      <c r="AL263" s="82">
        <f t="shared" si="517"/>
        <v>0</v>
      </c>
      <c r="AM263" s="82">
        <v>0</v>
      </c>
      <c r="AN263" s="82">
        <f t="shared" si="518"/>
        <v>0</v>
      </c>
      <c r="AO263" s="82">
        <f t="shared" si="519"/>
        <v>0</v>
      </c>
      <c r="AP263" s="82">
        <f t="shared" si="498"/>
        <v>0</v>
      </c>
      <c r="AQ263" s="83">
        <f t="shared" si="520"/>
        <v>0</v>
      </c>
      <c r="AR263" s="83">
        <f t="shared" si="499"/>
        <v>0</v>
      </c>
      <c r="AS263" s="83">
        <v>0</v>
      </c>
      <c r="AT263" s="83">
        <f t="shared" si="521"/>
        <v>0</v>
      </c>
      <c r="AU263" s="83">
        <v>0</v>
      </c>
      <c r="AV263" s="83">
        <f t="shared" si="522"/>
        <v>0</v>
      </c>
      <c r="AW263" s="83">
        <f t="shared" si="523"/>
        <v>0</v>
      </c>
      <c r="AX263" s="83">
        <f t="shared" si="500"/>
        <v>0</v>
      </c>
    </row>
    <row r="264" spans="2:50" x14ac:dyDescent="0.35">
      <c r="B264" s="7" t="s">
        <v>143</v>
      </c>
      <c r="C264" s="78">
        <v>0.36072033622770094</v>
      </c>
      <c r="D264" s="92">
        <v>0.36072033622770094</v>
      </c>
      <c r="E264" s="78">
        <v>9.5828460000000008E-3</v>
      </c>
      <c r="F264" s="78">
        <f t="shared" si="501"/>
        <v>9.5220544131385913E-3</v>
      </c>
      <c r="G264" s="78">
        <v>0</v>
      </c>
      <c r="H264" s="78">
        <f t="shared" si="502"/>
        <v>0</v>
      </c>
      <c r="I264" s="78">
        <f t="shared" si="503"/>
        <v>0.37030318222770092</v>
      </c>
      <c r="J264" s="78">
        <f t="shared" si="490"/>
        <v>0.37024239064083952</v>
      </c>
      <c r="K264" s="79">
        <f t="shared" si="504"/>
        <v>0.37030318222770092</v>
      </c>
      <c r="L264" s="79">
        <f t="shared" si="491"/>
        <v>0.37024239064083952</v>
      </c>
      <c r="M264" s="79">
        <v>0.21887515399999999</v>
      </c>
      <c r="N264" s="79">
        <f t="shared" si="505"/>
        <v>0.21891942071413789</v>
      </c>
      <c r="O264" s="79">
        <v>0</v>
      </c>
      <c r="P264" s="79">
        <f t="shared" si="506"/>
        <v>0</v>
      </c>
      <c r="Q264" s="79">
        <f t="shared" si="507"/>
        <v>0.58917833622770088</v>
      </c>
      <c r="R264" s="79">
        <f t="shared" si="492"/>
        <v>0.58916181135497747</v>
      </c>
      <c r="S264" s="80">
        <f t="shared" si="508"/>
        <v>0.58917833622770088</v>
      </c>
      <c r="T264" s="80">
        <f t="shared" si="493"/>
        <v>0.58916181135497747</v>
      </c>
      <c r="U264" s="80">
        <v>5.449995E-3</v>
      </c>
      <c r="V264" s="80">
        <f t="shared" si="509"/>
        <v>5.4489712889727714E-3</v>
      </c>
      <c r="W264" s="80">
        <v>0</v>
      </c>
      <c r="X264" s="80">
        <f t="shared" si="510"/>
        <v>0</v>
      </c>
      <c r="Y264" s="80">
        <f t="shared" si="511"/>
        <v>0.59462833122770087</v>
      </c>
      <c r="Z264" s="80">
        <f t="shared" si="494"/>
        <v>0.59461078264395029</v>
      </c>
      <c r="AA264" s="81">
        <f t="shared" si="512"/>
        <v>0.59462833122770087</v>
      </c>
      <c r="AB264" s="81">
        <f t="shared" si="495"/>
        <v>0.59461078264395029</v>
      </c>
      <c r="AC264" s="81">
        <v>0</v>
      </c>
      <c r="AD264" s="81">
        <f t="shared" si="513"/>
        <v>0</v>
      </c>
      <c r="AE264" s="81">
        <v>0</v>
      </c>
      <c r="AF264" s="81">
        <f t="shared" si="514"/>
        <v>0</v>
      </c>
      <c r="AG264" s="81">
        <f t="shared" si="515"/>
        <v>0.59462833122770087</v>
      </c>
      <c r="AH264" s="81">
        <f t="shared" si="496"/>
        <v>0.59461078264395029</v>
      </c>
      <c r="AI264" s="82">
        <f t="shared" si="516"/>
        <v>0.59462833122770087</v>
      </c>
      <c r="AJ264" s="82">
        <f t="shared" si="497"/>
        <v>0.59461078264395029</v>
      </c>
      <c r="AK264" s="82">
        <v>0</v>
      </c>
      <c r="AL264" s="82">
        <f t="shared" si="517"/>
        <v>0</v>
      </c>
      <c r="AM264" s="82">
        <v>0</v>
      </c>
      <c r="AN264" s="82">
        <f t="shared" si="518"/>
        <v>0</v>
      </c>
      <c r="AO264" s="82">
        <f t="shared" si="519"/>
        <v>0.59462833122770087</v>
      </c>
      <c r="AP264" s="82">
        <f t="shared" si="498"/>
        <v>0.59461078264395029</v>
      </c>
      <c r="AQ264" s="83">
        <f t="shared" si="520"/>
        <v>0.59462833122770087</v>
      </c>
      <c r="AR264" s="83">
        <f t="shared" si="499"/>
        <v>0.59461078264395029</v>
      </c>
      <c r="AS264" s="83">
        <v>0</v>
      </c>
      <c r="AT264" s="83">
        <f t="shared" si="521"/>
        <v>0</v>
      </c>
      <c r="AU264" s="83">
        <v>0</v>
      </c>
      <c r="AV264" s="83">
        <f t="shared" si="522"/>
        <v>0</v>
      </c>
      <c r="AW264" s="83">
        <f t="shared" si="523"/>
        <v>0.59462833122770087</v>
      </c>
      <c r="AX264" s="83">
        <f t="shared" si="500"/>
        <v>0.59461078264395029</v>
      </c>
    </row>
    <row r="265" spans="2:50" x14ac:dyDescent="0.35">
      <c r="B265" s="7" t="s">
        <v>144</v>
      </c>
      <c r="C265" s="78">
        <v>0</v>
      </c>
      <c r="D265" s="92">
        <v>0</v>
      </c>
      <c r="E265" s="78">
        <v>0</v>
      </c>
      <c r="F265" s="78">
        <f t="shared" si="501"/>
        <v>0</v>
      </c>
      <c r="G265" s="78">
        <v>0</v>
      </c>
      <c r="H265" s="78">
        <f t="shared" si="502"/>
        <v>0</v>
      </c>
      <c r="I265" s="78">
        <f t="shared" si="503"/>
        <v>0</v>
      </c>
      <c r="J265" s="78">
        <f t="shared" si="490"/>
        <v>0</v>
      </c>
      <c r="K265" s="79">
        <f t="shared" si="504"/>
        <v>0</v>
      </c>
      <c r="L265" s="79">
        <f t="shared" si="491"/>
        <v>0</v>
      </c>
      <c r="M265" s="79">
        <v>0</v>
      </c>
      <c r="N265" s="79">
        <f t="shared" si="505"/>
        <v>0</v>
      </c>
      <c r="O265" s="79">
        <v>0</v>
      </c>
      <c r="P265" s="79">
        <f t="shared" si="506"/>
        <v>0</v>
      </c>
      <c r="Q265" s="79">
        <f t="shared" si="507"/>
        <v>0</v>
      </c>
      <c r="R265" s="79">
        <f t="shared" si="492"/>
        <v>0</v>
      </c>
      <c r="S265" s="80">
        <f t="shared" si="508"/>
        <v>0</v>
      </c>
      <c r="T265" s="80">
        <f t="shared" si="493"/>
        <v>0</v>
      </c>
      <c r="U265" s="80">
        <v>0</v>
      </c>
      <c r="V265" s="80">
        <f t="shared" si="509"/>
        <v>0</v>
      </c>
      <c r="W265" s="80">
        <v>0</v>
      </c>
      <c r="X265" s="80">
        <f t="shared" si="510"/>
        <v>0</v>
      </c>
      <c r="Y265" s="80">
        <f t="shared" si="511"/>
        <v>0</v>
      </c>
      <c r="Z265" s="80">
        <f t="shared" si="494"/>
        <v>0</v>
      </c>
      <c r="AA265" s="81">
        <f t="shared" si="512"/>
        <v>0</v>
      </c>
      <c r="AB265" s="81">
        <f t="shared" si="495"/>
        <v>0</v>
      </c>
      <c r="AC265" s="81">
        <v>0</v>
      </c>
      <c r="AD265" s="81">
        <f t="shared" si="513"/>
        <v>0</v>
      </c>
      <c r="AE265" s="81">
        <v>0</v>
      </c>
      <c r="AF265" s="81">
        <f t="shared" si="514"/>
        <v>0</v>
      </c>
      <c r="AG265" s="81">
        <f t="shared" si="515"/>
        <v>0</v>
      </c>
      <c r="AH265" s="81">
        <f t="shared" si="496"/>
        <v>0</v>
      </c>
      <c r="AI265" s="82">
        <f t="shared" si="516"/>
        <v>0</v>
      </c>
      <c r="AJ265" s="82">
        <f t="shared" si="497"/>
        <v>0</v>
      </c>
      <c r="AK265" s="82">
        <v>0</v>
      </c>
      <c r="AL265" s="82">
        <f t="shared" si="517"/>
        <v>0</v>
      </c>
      <c r="AM265" s="82">
        <v>0</v>
      </c>
      <c r="AN265" s="82">
        <f t="shared" si="518"/>
        <v>0</v>
      </c>
      <c r="AO265" s="82">
        <f t="shared" si="519"/>
        <v>0</v>
      </c>
      <c r="AP265" s="82">
        <f t="shared" si="498"/>
        <v>0</v>
      </c>
      <c r="AQ265" s="83">
        <f t="shared" si="520"/>
        <v>0</v>
      </c>
      <c r="AR265" s="83">
        <f t="shared" si="499"/>
        <v>0</v>
      </c>
      <c r="AS265" s="83">
        <v>0</v>
      </c>
      <c r="AT265" s="83">
        <f t="shared" si="521"/>
        <v>0</v>
      </c>
      <c r="AU265" s="83">
        <v>0</v>
      </c>
      <c r="AV265" s="83">
        <f t="shared" si="522"/>
        <v>0</v>
      </c>
      <c r="AW265" s="83">
        <f t="shared" si="523"/>
        <v>0</v>
      </c>
      <c r="AX265" s="83">
        <f t="shared" si="500"/>
        <v>0</v>
      </c>
    </row>
    <row r="266" spans="2:50" x14ac:dyDescent="0.35">
      <c r="B266" s="7" t="s">
        <v>145</v>
      </c>
      <c r="C266" s="78">
        <v>0</v>
      </c>
      <c r="D266" s="92">
        <v>0</v>
      </c>
      <c r="E266" s="78">
        <v>0</v>
      </c>
      <c r="F266" s="78">
        <f t="shared" si="501"/>
        <v>0</v>
      </c>
      <c r="G266" s="78">
        <v>0</v>
      </c>
      <c r="H266" s="78">
        <f t="shared" si="502"/>
        <v>0</v>
      </c>
      <c r="I266" s="78">
        <f t="shared" si="503"/>
        <v>0</v>
      </c>
      <c r="J266" s="78">
        <f t="shared" si="490"/>
        <v>0</v>
      </c>
      <c r="K266" s="79">
        <f t="shared" si="504"/>
        <v>0</v>
      </c>
      <c r="L266" s="79">
        <f t="shared" si="491"/>
        <v>0</v>
      </c>
      <c r="M266" s="79">
        <v>0</v>
      </c>
      <c r="N266" s="79">
        <f t="shared" si="505"/>
        <v>0</v>
      </c>
      <c r="O266" s="79">
        <v>0</v>
      </c>
      <c r="P266" s="79">
        <f t="shared" si="506"/>
        <v>0</v>
      </c>
      <c r="Q266" s="79">
        <f t="shared" si="507"/>
        <v>0</v>
      </c>
      <c r="R266" s="79">
        <f t="shared" si="492"/>
        <v>0</v>
      </c>
      <c r="S266" s="80">
        <f t="shared" si="508"/>
        <v>0</v>
      </c>
      <c r="T266" s="80">
        <f t="shared" si="493"/>
        <v>0</v>
      </c>
      <c r="U266" s="80">
        <v>0</v>
      </c>
      <c r="V266" s="80">
        <f t="shared" si="509"/>
        <v>0</v>
      </c>
      <c r="W266" s="80">
        <v>0</v>
      </c>
      <c r="X266" s="80">
        <f t="shared" si="510"/>
        <v>0</v>
      </c>
      <c r="Y266" s="80">
        <f t="shared" si="511"/>
        <v>0</v>
      </c>
      <c r="Z266" s="80">
        <f t="shared" si="494"/>
        <v>0</v>
      </c>
      <c r="AA266" s="81">
        <f t="shared" si="512"/>
        <v>0</v>
      </c>
      <c r="AB266" s="81">
        <f t="shared" si="495"/>
        <v>0</v>
      </c>
      <c r="AC266" s="81">
        <v>0</v>
      </c>
      <c r="AD266" s="81">
        <f t="shared" si="513"/>
        <v>0</v>
      </c>
      <c r="AE266" s="81">
        <v>0</v>
      </c>
      <c r="AF266" s="81">
        <f t="shared" si="514"/>
        <v>0</v>
      </c>
      <c r="AG266" s="81">
        <f t="shared" si="515"/>
        <v>0</v>
      </c>
      <c r="AH266" s="81">
        <f t="shared" si="496"/>
        <v>0</v>
      </c>
      <c r="AI266" s="82">
        <f t="shared" si="516"/>
        <v>0</v>
      </c>
      <c r="AJ266" s="82">
        <f t="shared" si="497"/>
        <v>0</v>
      </c>
      <c r="AK266" s="82">
        <v>0</v>
      </c>
      <c r="AL266" s="82">
        <f t="shared" si="517"/>
        <v>0</v>
      </c>
      <c r="AM266" s="82">
        <v>0</v>
      </c>
      <c r="AN266" s="82">
        <f t="shared" si="518"/>
        <v>0</v>
      </c>
      <c r="AO266" s="82">
        <f t="shared" si="519"/>
        <v>0</v>
      </c>
      <c r="AP266" s="82">
        <f t="shared" si="498"/>
        <v>0</v>
      </c>
      <c r="AQ266" s="83">
        <f t="shared" si="520"/>
        <v>0</v>
      </c>
      <c r="AR266" s="83">
        <f t="shared" si="499"/>
        <v>0</v>
      </c>
      <c r="AS266" s="83">
        <v>0</v>
      </c>
      <c r="AT266" s="83">
        <f t="shared" si="521"/>
        <v>0</v>
      </c>
      <c r="AU266" s="83">
        <v>0</v>
      </c>
      <c r="AV266" s="83">
        <f t="shared" si="522"/>
        <v>0</v>
      </c>
      <c r="AW266" s="83">
        <f t="shared" si="523"/>
        <v>0</v>
      </c>
      <c r="AX266" s="83">
        <f t="shared" si="500"/>
        <v>0</v>
      </c>
    </row>
    <row r="267" spans="2:50" x14ac:dyDescent="0.35">
      <c r="B267" s="7" t="s">
        <v>146</v>
      </c>
      <c r="C267" s="78">
        <v>0</v>
      </c>
      <c r="D267" s="92">
        <v>0</v>
      </c>
      <c r="E267" s="78">
        <v>0</v>
      </c>
      <c r="F267" s="78">
        <f t="shared" si="501"/>
        <v>0</v>
      </c>
      <c r="G267" s="78">
        <v>0</v>
      </c>
      <c r="H267" s="78">
        <f t="shared" si="502"/>
        <v>0</v>
      </c>
      <c r="I267" s="78">
        <f t="shared" si="503"/>
        <v>0</v>
      </c>
      <c r="J267" s="78">
        <f t="shared" si="490"/>
        <v>0</v>
      </c>
      <c r="K267" s="79">
        <f t="shared" si="504"/>
        <v>0</v>
      </c>
      <c r="L267" s="79">
        <f t="shared" si="491"/>
        <v>0</v>
      </c>
      <c r="M267" s="79">
        <v>0</v>
      </c>
      <c r="N267" s="79">
        <f t="shared" si="505"/>
        <v>0</v>
      </c>
      <c r="O267" s="79">
        <v>0</v>
      </c>
      <c r="P267" s="79">
        <f t="shared" si="506"/>
        <v>0</v>
      </c>
      <c r="Q267" s="79">
        <f t="shared" si="507"/>
        <v>0</v>
      </c>
      <c r="R267" s="79">
        <f t="shared" si="492"/>
        <v>0</v>
      </c>
      <c r="S267" s="80">
        <f t="shared" si="508"/>
        <v>0</v>
      </c>
      <c r="T267" s="80">
        <f t="shared" si="493"/>
        <v>0</v>
      </c>
      <c r="U267" s="80">
        <v>0</v>
      </c>
      <c r="V267" s="80">
        <f t="shared" si="509"/>
        <v>0</v>
      </c>
      <c r="W267" s="80">
        <v>0</v>
      </c>
      <c r="X267" s="80">
        <f t="shared" si="510"/>
        <v>0</v>
      </c>
      <c r="Y267" s="80">
        <f t="shared" si="511"/>
        <v>0</v>
      </c>
      <c r="Z267" s="80">
        <f t="shared" si="494"/>
        <v>0</v>
      </c>
      <c r="AA267" s="81">
        <f t="shared" si="512"/>
        <v>0</v>
      </c>
      <c r="AB267" s="81">
        <f t="shared" si="495"/>
        <v>0</v>
      </c>
      <c r="AC267" s="81">
        <v>0</v>
      </c>
      <c r="AD267" s="81">
        <f t="shared" si="513"/>
        <v>0</v>
      </c>
      <c r="AE267" s="81">
        <v>0</v>
      </c>
      <c r="AF267" s="81">
        <f t="shared" si="514"/>
        <v>0</v>
      </c>
      <c r="AG267" s="81">
        <f t="shared" si="515"/>
        <v>0</v>
      </c>
      <c r="AH267" s="81">
        <f t="shared" si="496"/>
        <v>0</v>
      </c>
      <c r="AI267" s="82">
        <f t="shared" si="516"/>
        <v>0</v>
      </c>
      <c r="AJ267" s="82">
        <f t="shared" si="497"/>
        <v>0</v>
      </c>
      <c r="AK267" s="82">
        <v>0</v>
      </c>
      <c r="AL267" s="82">
        <f t="shared" si="517"/>
        <v>0</v>
      </c>
      <c r="AM267" s="82">
        <v>0</v>
      </c>
      <c r="AN267" s="82">
        <f t="shared" si="518"/>
        <v>0</v>
      </c>
      <c r="AO267" s="82">
        <f t="shared" si="519"/>
        <v>0</v>
      </c>
      <c r="AP267" s="82">
        <f t="shared" si="498"/>
        <v>0</v>
      </c>
      <c r="AQ267" s="83">
        <f t="shared" si="520"/>
        <v>0</v>
      </c>
      <c r="AR267" s="83">
        <f t="shared" si="499"/>
        <v>0</v>
      </c>
      <c r="AS267" s="83">
        <v>0</v>
      </c>
      <c r="AT267" s="83">
        <f t="shared" si="521"/>
        <v>0</v>
      </c>
      <c r="AU267" s="83">
        <v>0</v>
      </c>
      <c r="AV267" s="83">
        <f t="shared" si="522"/>
        <v>0</v>
      </c>
      <c r="AW267" s="83">
        <f t="shared" si="523"/>
        <v>0</v>
      </c>
      <c r="AX267" s="83">
        <f t="shared" si="500"/>
        <v>0</v>
      </c>
    </row>
    <row r="268" spans="2:50" x14ac:dyDescent="0.35">
      <c r="B268" s="7" t="s">
        <v>147</v>
      </c>
      <c r="C268" s="78">
        <v>0</v>
      </c>
      <c r="D268" s="92">
        <v>0</v>
      </c>
      <c r="E268" s="78">
        <v>0</v>
      </c>
      <c r="F268" s="78">
        <f t="shared" si="501"/>
        <v>0</v>
      </c>
      <c r="G268" s="78">
        <v>0</v>
      </c>
      <c r="H268" s="78">
        <f t="shared" si="502"/>
        <v>0</v>
      </c>
      <c r="I268" s="78">
        <f t="shared" si="503"/>
        <v>0</v>
      </c>
      <c r="J268" s="78">
        <f t="shared" si="490"/>
        <v>0</v>
      </c>
      <c r="K268" s="79">
        <f t="shared" si="504"/>
        <v>0</v>
      </c>
      <c r="L268" s="79">
        <f t="shared" si="491"/>
        <v>0</v>
      </c>
      <c r="M268" s="79">
        <v>0</v>
      </c>
      <c r="N268" s="79">
        <f t="shared" si="505"/>
        <v>0</v>
      </c>
      <c r="O268" s="79">
        <v>0</v>
      </c>
      <c r="P268" s="79">
        <f t="shared" si="506"/>
        <v>0</v>
      </c>
      <c r="Q268" s="79">
        <f t="shared" si="507"/>
        <v>0</v>
      </c>
      <c r="R268" s="79">
        <f t="shared" si="492"/>
        <v>0</v>
      </c>
      <c r="S268" s="80">
        <f t="shared" si="508"/>
        <v>0</v>
      </c>
      <c r="T268" s="80">
        <f t="shared" si="493"/>
        <v>0</v>
      </c>
      <c r="U268" s="80">
        <v>0</v>
      </c>
      <c r="V268" s="80">
        <f t="shared" si="509"/>
        <v>0</v>
      </c>
      <c r="W268" s="80">
        <v>0</v>
      </c>
      <c r="X268" s="80">
        <f t="shared" si="510"/>
        <v>0</v>
      </c>
      <c r="Y268" s="80">
        <f t="shared" si="511"/>
        <v>0</v>
      </c>
      <c r="Z268" s="80">
        <f t="shared" si="494"/>
        <v>0</v>
      </c>
      <c r="AA268" s="81">
        <f t="shared" si="512"/>
        <v>0</v>
      </c>
      <c r="AB268" s="81">
        <f t="shared" si="495"/>
        <v>0</v>
      </c>
      <c r="AC268" s="81">
        <v>0</v>
      </c>
      <c r="AD268" s="81">
        <f t="shared" si="513"/>
        <v>0</v>
      </c>
      <c r="AE268" s="81">
        <v>0</v>
      </c>
      <c r="AF268" s="81">
        <f t="shared" si="514"/>
        <v>0</v>
      </c>
      <c r="AG268" s="81">
        <f t="shared" si="515"/>
        <v>0</v>
      </c>
      <c r="AH268" s="81">
        <f t="shared" si="496"/>
        <v>0</v>
      </c>
      <c r="AI268" s="82">
        <f t="shared" si="516"/>
        <v>0</v>
      </c>
      <c r="AJ268" s="82">
        <f t="shared" si="497"/>
        <v>0</v>
      </c>
      <c r="AK268" s="82">
        <v>0</v>
      </c>
      <c r="AL268" s="82">
        <f t="shared" si="517"/>
        <v>0</v>
      </c>
      <c r="AM268" s="82">
        <v>0</v>
      </c>
      <c r="AN268" s="82">
        <f t="shared" si="518"/>
        <v>0</v>
      </c>
      <c r="AO268" s="82">
        <f t="shared" si="519"/>
        <v>0</v>
      </c>
      <c r="AP268" s="82">
        <f t="shared" si="498"/>
        <v>0</v>
      </c>
      <c r="AQ268" s="83">
        <f t="shared" si="520"/>
        <v>0</v>
      </c>
      <c r="AR268" s="83">
        <f t="shared" si="499"/>
        <v>0</v>
      </c>
      <c r="AS268" s="83">
        <v>0</v>
      </c>
      <c r="AT268" s="83">
        <f t="shared" si="521"/>
        <v>0</v>
      </c>
      <c r="AU268" s="83">
        <v>0</v>
      </c>
      <c r="AV268" s="83">
        <f t="shared" si="522"/>
        <v>0</v>
      </c>
      <c r="AW268" s="83">
        <f t="shared" si="523"/>
        <v>0</v>
      </c>
      <c r="AX268" s="83">
        <f t="shared" si="500"/>
        <v>0</v>
      </c>
    </row>
    <row r="269" spans="2:50" x14ac:dyDescent="0.35">
      <c r="B269" s="7" t="s">
        <v>148</v>
      </c>
      <c r="C269" s="78">
        <v>0</v>
      </c>
      <c r="D269" s="92">
        <v>0</v>
      </c>
      <c r="E269" s="78">
        <v>0</v>
      </c>
      <c r="F269" s="78">
        <f t="shared" si="501"/>
        <v>0</v>
      </c>
      <c r="G269" s="78">
        <v>0</v>
      </c>
      <c r="H269" s="78">
        <f t="shared" si="502"/>
        <v>0</v>
      </c>
      <c r="I269" s="78">
        <f t="shared" si="503"/>
        <v>0</v>
      </c>
      <c r="J269" s="78">
        <f t="shared" si="490"/>
        <v>0</v>
      </c>
      <c r="K269" s="79">
        <f t="shared" si="504"/>
        <v>0</v>
      </c>
      <c r="L269" s="79">
        <f t="shared" si="491"/>
        <v>0</v>
      </c>
      <c r="M269" s="79">
        <v>0</v>
      </c>
      <c r="N269" s="79">
        <f t="shared" si="505"/>
        <v>0</v>
      </c>
      <c r="O269" s="79">
        <v>0</v>
      </c>
      <c r="P269" s="79">
        <f t="shared" si="506"/>
        <v>0</v>
      </c>
      <c r="Q269" s="79">
        <f t="shared" si="507"/>
        <v>0</v>
      </c>
      <c r="R269" s="79">
        <f t="shared" si="492"/>
        <v>0</v>
      </c>
      <c r="S269" s="80">
        <f t="shared" si="508"/>
        <v>0</v>
      </c>
      <c r="T269" s="80">
        <f t="shared" si="493"/>
        <v>0</v>
      </c>
      <c r="U269" s="80">
        <v>0</v>
      </c>
      <c r="V269" s="80">
        <f t="shared" si="509"/>
        <v>0</v>
      </c>
      <c r="W269" s="80">
        <v>0</v>
      </c>
      <c r="X269" s="80">
        <f t="shared" si="510"/>
        <v>0</v>
      </c>
      <c r="Y269" s="80">
        <f t="shared" si="511"/>
        <v>0</v>
      </c>
      <c r="Z269" s="80">
        <f t="shared" si="494"/>
        <v>0</v>
      </c>
      <c r="AA269" s="81">
        <f t="shared" si="512"/>
        <v>0</v>
      </c>
      <c r="AB269" s="81">
        <f t="shared" si="495"/>
        <v>0</v>
      </c>
      <c r="AC269" s="81">
        <v>0</v>
      </c>
      <c r="AD269" s="81">
        <f t="shared" si="513"/>
        <v>0</v>
      </c>
      <c r="AE269" s="81">
        <v>0</v>
      </c>
      <c r="AF269" s="81">
        <f t="shared" si="514"/>
        <v>0</v>
      </c>
      <c r="AG269" s="81">
        <f t="shared" si="515"/>
        <v>0</v>
      </c>
      <c r="AH269" s="81">
        <f t="shared" si="496"/>
        <v>0</v>
      </c>
      <c r="AI269" s="82">
        <f t="shared" si="516"/>
        <v>0</v>
      </c>
      <c r="AJ269" s="82">
        <f t="shared" si="497"/>
        <v>0</v>
      </c>
      <c r="AK269" s="82">
        <v>0</v>
      </c>
      <c r="AL269" s="82">
        <f t="shared" si="517"/>
        <v>0</v>
      </c>
      <c r="AM269" s="82">
        <v>0</v>
      </c>
      <c r="AN269" s="82">
        <f t="shared" si="518"/>
        <v>0</v>
      </c>
      <c r="AO269" s="82">
        <f t="shared" si="519"/>
        <v>0</v>
      </c>
      <c r="AP269" s="82">
        <f t="shared" si="498"/>
        <v>0</v>
      </c>
      <c r="AQ269" s="83">
        <f t="shared" si="520"/>
        <v>0</v>
      </c>
      <c r="AR269" s="83">
        <f t="shared" si="499"/>
        <v>0</v>
      </c>
      <c r="AS269" s="83">
        <v>0</v>
      </c>
      <c r="AT269" s="83">
        <f t="shared" si="521"/>
        <v>0</v>
      </c>
      <c r="AU269" s="83">
        <v>0</v>
      </c>
      <c r="AV269" s="83">
        <f t="shared" si="522"/>
        <v>0</v>
      </c>
      <c r="AW269" s="83">
        <f t="shared" si="523"/>
        <v>0</v>
      </c>
      <c r="AX269" s="83">
        <f t="shared" si="500"/>
        <v>0</v>
      </c>
    </row>
    <row r="270" spans="2:50" ht="31" x14ac:dyDescent="0.35">
      <c r="B270" s="84" t="s">
        <v>149</v>
      </c>
      <c r="C270" s="78">
        <v>0</v>
      </c>
      <c r="D270" s="92">
        <v>0</v>
      </c>
      <c r="E270" s="78">
        <v>0</v>
      </c>
      <c r="F270" s="78">
        <f t="shared" si="501"/>
        <v>0</v>
      </c>
      <c r="G270" s="78">
        <v>0</v>
      </c>
      <c r="H270" s="78">
        <f t="shared" si="502"/>
        <v>0</v>
      </c>
      <c r="I270" s="78">
        <f t="shared" si="503"/>
        <v>0</v>
      </c>
      <c r="J270" s="78">
        <f t="shared" si="490"/>
        <v>0</v>
      </c>
      <c r="K270" s="79">
        <f t="shared" si="504"/>
        <v>0</v>
      </c>
      <c r="L270" s="79">
        <f t="shared" si="491"/>
        <v>0</v>
      </c>
      <c r="M270" s="79">
        <v>0</v>
      </c>
      <c r="N270" s="79">
        <f t="shared" si="505"/>
        <v>0</v>
      </c>
      <c r="O270" s="79">
        <v>0</v>
      </c>
      <c r="P270" s="79">
        <f t="shared" si="506"/>
        <v>0</v>
      </c>
      <c r="Q270" s="79">
        <f t="shared" si="507"/>
        <v>0</v>
      </c>
      <c r="R270" s="79">
        <f t="shared" si="492"/>
        <v>0</v>
      </c>
      <c r="S270" s="80">
        <f t="shared" si="508"/>
        <v>0</v>
      </c>
      <c r="T270" s="80">
        <f t="shared" si="493"/>
        <v>0</v>
      </c>
      <c r="U270" s="80">
        <v>0</v>
      </c>
      <c r="V270" s="80">
        <f t="shared" si="509"/>
        <v>0</v>
      </c>
      <c r="W270" s="80">
        <v>0</v>
      </c>
      <c r="X270" s="80">
        <f t="shared" si="510"/>
        <v>0</v>
      </c>
      <c r="Y270" s="80">
        <f t="shared" si="511"/>
        <v>0</v>
      </c>
      <c r="Z270" s="80">
        <f t="shared" si="494"/>
        <v>0</v>
      </c>
      <c r="AA270" s="81">
        <f t="shared" si="512"/>
        <v>0</v>
      </c>
      <c r="AB270" s="81">
        <f t="shared" si="495"/>
        <v>0</v>
      </c>
      <c r="AC270" s="81">
        <v>0</v>
      </c>
      <c r="AD270" s="81">
        <f t="shared" si="513"/>
        <v>0</v>
      </c>
      <c r="AE270" s="81">
        <v>0</v>
      </c>
      <c r="AF270" s="81">
        <f t="shared" si="514"/>
        <v>0</v>
      </c>
      <c r="AG270" s="81">
        <f t="shared" si="515"/>
        <v>0</v>
      </c>
      <c r="AH270" s="81">
        <f t="shared" si="496"/>
        <v>0</v>
      </c>
      <c r="AI270" s="82">
        <f t="shared" si="516"/>
        <v>0</v>
      </c>
      <c r="AJ270" s="82">
        <f t="shared" si="497"/>
        <v>0</v>
      </c>
      <c r="AK270" s="82">
        <v>0</v>
      </c>
      <c r="AL270" s="82">
        <f t="shared" si="517"/>
        <v>0</v>
      </c>
      <c r="AM270" s="82">
        <v>0</v>
      </c>
      <c r="AN270" s="82">
        <f t="shared" si="518"/>
        <v>0</v>
      </c>
      <c r="AO270" s="82">
        <f t="shared" si="519"/>
        <v>0</v>
      </c>
      <c r="AP270" s="82">
        <f t="shared" si="498"/>
        <v>0</v>
      </c>
      <c r="AQ270" s="83">
        <f t="shared" si="520"/>
        <v>0</v>
      </c>
      <c r="AR270" s="83">
        <f t="shared" si="499"/>
        <v>0</v>
      </c>
      <c r="AS270" s="83">
        <v>0</v>
      </c>
      <c r="AT270" s="83">
        <f t="shared" si="521"/>
        <v>0</v>
      </c>
      <c r="AU270" s="83">
        <v>0</v>
      </c>
      <c r="AV270" s="83">
        <f t="shared" si="522"/>
        <v>0</v>
      </c>
      <c r="AW270" s="83">
        <f t="shared" si="523"/>
        <v>0</v>
      </c>
      <c r="AX270" s="83">
        <f t="shared" si="500"/>
        <v>0</v>
      </c>
    </row>
    <row r="271" spans="2:50" x14ac:dyDescent="0.35">
      <c r="B271" s="12" t="s">
        <v>27</v>
      </c>
      <c r="C271" s="85">
        <f>SUM(C254:C270)</f>
        <v>1820.4680820540241</v>
      </c>
      <c r="D271" s="93">
        <f t="shared" ref="D271:E271" si="524">SUM(D254:D270)</f>
        <v>1820.4664416130279</v>
      </c>
      <c r="E271" s="85">
        <f t="shared" si="524"/>
        <v>8.1926205440000022</v>
      </c>
      <c r="F271" s="85">
        <v>8.1406482589999989</v>
      </c>
      <c r="G271" s="85">
        <f t="shared" ref="G271:M271" si="525">SUM(G254:G270)</f>
        <v>0</v>
      </c>
      <c r="H271" s="85">
        <f t="shared" si="525"/>
        <v>0</v>
      </c>
      <c r="I271" s="85">
        <f t="shared" si="525"/>
        <v>1828.660702598024</v>
      </c>
      <c r="J271" s="85">
        <f t="shared" si="525"/>
        <v>1828.6070898720282</v>
      </c>
      <c r="K271" s="86">
        <f t="shared" si="525"/>
        <v>1828.660702598024</v>
      </c>
      <c r="L271" s="86">
        <f t="shared" si="525"/>
        <v>1828.6070898720282</v>
      </c>
      <c r="M271" s="86">
        <f t="shared" si="525"/>
        <v>13.801006404999999</v>
      </c>
      <c r="N271" s="86">
        <v>13.803797609</v>
      </c>
      <c r="O271" s="86">
        <f t="shared" ref="O271:U271" si="526">SUM(O254:O270)</f>
        <v>0</v>
      </c>
      <c r="P271" s="86">
        <f t="shared" si="526"/>
        <v>0</v>
      </c>
      <c r="Q271" s="86">
        <f t="shared" si="526"/>
        <v>1842.461709003024</v>
      </c>
      <c r="R271" s="86">
        <f t="shared" si="526"/>
        <v>1842.4108874810281</v>
      </c>
      <c r="S271" s="87">
        <f t="shared" si="526"/>
        <v>1842.461709003024</v>
      </c>
      <c r="T271" s="87">
        <f t="shared" si="526"/>
        <v>1842.4108874810281</v>
      </c>
      <c r="U271" s="87">
        <f t="shared" si="526"/>
        <v>25.455323084000003</v>
      </c>
      <c r="V271" s="87">
        <v>25.450541630999997</v>
      </c>
      <c r="W271" s="87">
        <f t="shared" ref="W271:AC271" si="527">SUM(W254:W270)</f>
        <v>0</v>
      </c>
      <c r="X271" s="87">
        <f t="shared" si="527"/>
        <v>0</v>
      </c>
      <c r="Y271" s="87">
        <f t="shared" si="527"/>
        <v>1867.9170320870242</v>
      </c>
      <c r="Z271" s="87">
        <f t="shared" si="527"/>
        <v>1867.8614291120282</v>
      </c>
      <c r="AA271" s="88">
        <f t="shared" si="527"/>
        <v>1867.9170320870242</v>
      </c>
      <c r="AB271" s="88">
        <f t="shared" si="527"/>
        <v>1867.8614291120282</v>
      </c>
      <c r="AC271" s="88">
        <f t="shared" si="527"/>
        <v>103.68</v>
      </c>
      <c r="AD271" s="88">
        <v>103.65525509999999</v>
      </c>
      <c r="AE271" s="88">
        <f t="shared" ref="AE271:AK271" si="528">SUM(AE254:AE270)</f>
        <v>0</v>
      </c>
      <c r="AF271" s="88">
        <f t="shared" si="528"/>
        <v>0</v>
      </c>
      <c r="AG271" s="88">
        <f t="shared" si="528"/>
        <v>1971.5970320870242</v>
      </c>
      <c r="AH271" s="88">
        <f t="shared" si="528"/>
        <v>1971.5166842120282</v>
      </c>
      <c r="AI271" s="89">
        <f t="shared" si="528"/>
        <v>1971.5970320870242</v>
      </c>
      <c r="AJ271" s="89">
        <f t="shared" si="528"/>
        <v>1971.5166842120282</v>
      </c>
      <c r="AK271" s="89">
        <f t="shared" si="528"/>
        <v>7.57</v>
      </c>
      <c r="AL271" s="89">
        <v>7.57</v>
      </c>
      <c r="AM271" s="89">
        <f t="shared" ref="AM271:AS271" si="529">SUM(AM254:AM270)</f>
        <v>0</v>
      </c>
      <c r="AN271" s="89">
        <f t="shared" si="529"/>
        <v>0</v>
      </c>
      <c r="AO271" s="89">
        <f t="shared" si="529"/>
        <v>1979.1670320870242</v>
      </c>
      <c r="AP271" s="89">
        <f t="shared" si="529"/>
        <v>1979.0866842120281</v>
      </c>
      <c r="AQ271" s="90">
        <f t="shared" si="529"/>
        <v>1979.1670320870242</v>
      </c>
      <c r="AR271" s="90">
        <f t="shared" si="529"/>
        <v>1979.0866842120281</v>
      </c>
      <c r="AS271" s="90">
        <f t="shared" si="529"/>
        <v>222.39</v>
      </c>
      <c r="AT271" s="90">
        <v>89.240000000000009</v>
      </c>
      <c r="AU271" s="90">
        <f t="shared" ref="AU271:AX271" si="530">SUM(AU254:AU270)</f>
        <v>0</v>
      </c>
      <c r="AV271" s="90">
        <f t="shared" si="530"/>
        <v>0</v>
      </c>
      <c r="AW271" s="90">
        <f t="shared" si="530"/>
        <v>2201.5570320870243</v>
      </c>
      <c r="AX271" s="90">
        <f t="shared" si="530"/>
        <v>2068.3266842120279</v>
      </c>
    </row>
    <row r="272" spans="2:50" s="77" customFormat="1" x14ac:dyDescent="0.35">
      <c r="B272" s="70" t="s">
        <v>161</v>
      </c>
      <c r="C272" s="71"/>
      <c r="D272" s="71"/>
      <c r="E272" s="71"/>
      <c r="F272" s="71"/>
      <c r="G272" s="71"/>
      <c r="H272" s="71"/>
      <c r="I272" s="71"/>
      <c r="J272" s="71"/>
      <c r="K272" s="72"/>
      <c r="L272" s="72"/>
      <c r="M272" s="72"/>
      <c r="N272" s="72"/>
      <c r="O272" s="72"/>
      <c r="P272" s="72"/>
      <c r="Q272" s="72"/>
      <c r="R272" s="72"/>
      <c r="S272" s="73"/>
      <c r="T272" s="73"/>
      <c r="U272" s="73"/>
      <c r="V272" s="73"/>
      <c r="W272" s="73"/>
      <c r="X272" s="73"/>
      <c r="Y272" s="73"/>
      <c r="Z272" s="73"/>
      <c r="AA272" s="74"/>
      <c r="AB272" s="74"/>
      <c r="AC272" s="74"/>
      <c r="AD272" s="74"/>
      <c r="AE272" s="74"/>
      <c r="AF272" s="74"/>
      <c r="AG272" s="74"/>
      <c r="AH272" s="74"/>
      <c r="AI272" s="75"/>
      <c r="AJ272" s="75"/>
      <c r="AK272" s="75"/>
      <c r="AL272" s="75"/>
      <c r="AM272" s="75"/>
      <c r="AN272" s="75"/>
      <c r="AO272" s="75"/>
      <c r="AP272" s="75"/>
      <c r="AQ272" s="76"/>
      <c r="AR272" s="76"/>
      <c r="AS272" s="76"/>
      <c r="AT272" s="76"/>
      <c r="AU272" s="76"/>
      <c r="AV272" s="76"/>
      <c r="AW272" s="76"/>
      <c r="AX272" s="76"/>
    </row>
    <row r="273" spans="2:50" x14ac:dyDescent="0.35">
      <c r="B273" s="7" t="s">
        <v>133</v>
      </c>
      <c r="C273" s="78">
        <v>4.3032215600586891E-2</v>
      </c>
      <c r="D273" s="78">
        <f>C273</f>
        <v>4.3032215600586891E-2</v>
      </c>
      <c r="E273" s="78">
        <v>0</v>
      </c>
      <c r="F273" s="78">
        <f>IFERROR(E273/E$290*F$290,0)</f>
        <v>0</v>
      </c>
      <c r="G273" s="78">
        <v>0</v>
      </c>
      <c r="H273" s="78">
        <f>G273</f>
        <v>0</v>
      </c>
      <c r="I273" s="78">
        <f>C273+E273-G273</f>
        <v>4.3032215600586891E-2</v>
      </c>
      <c r="J273" s="78">
        <f t="shared" ref="J273:J289" si="531">D273+F273-H273</f>
        <v>4.3032215600586891E-2</v>
      </c>
      <c r="K273" s="79">
        <f>I273</f>
        <v>4.3032215600586891E-2</v>
      </c>
      <c r="L273" s="79">
        <f t="shared" ref="L273:L289" si="532">J273</f>
        <v>4.3032215600586891E-2</v>
      </c>
      <c r="M273" s="79">
        <v>0</v>
      </c>
      <c r="N273" s="79">
        <f>IFERROR(M273/M$290*N$290,0)</f>
        <v>0</v>
      </c>
      <c r="O273" s="79">
        <v>0</v>
      </c>
      <c r="P273" s="79">
        <f>O273</f>
        <v>0</v>
      </c>
      <c r="Q273" s="79">
        <f>K273+M273-O273</f>
        <v>4.3032215600586891E-2</v>
      </c>
      <c r="R273" s="79">
        <f t="shared" ref="R273:R289" si="533">L273+N273-P273</f>
        <v>4.3032215600586891E-2</v>
      </c>
      <c r="S273" s="80">
        <f>Q273</f>
        <v>4.3032215600586891E-2</v>
      </c>
      <c r="T273" s="80">
        <f t="shared" ref="T273:T289" si="534">R273</f>
        <v>4.3032215600586891E-2</v>
      </c>
      <c r="U273" s="80">
        <v>0</v>
      </c>
      <c r="V273" s="80">
        <f>IFERROR(U273/U$290*V$290,0)</f>
        <v>0</v>
      </c>
      <c r="W273" s="80">
        <v>0</v>
      </c>
      <c r="X273" s="80">
        <f>W273</f>
        <v>0</v>
      </c>
      <c r="Y273" s="80">
        <f>S273+U273-W273</f>
        <v>4.3032215600586891E-2</v>
      </c>
      <c r="Z273" s="80">
        <f t="shared" ref="Z273:Z289" si="535">T273+V273-X273</f>
        <v>4.3032215600586891E-2</v>
      </c>
      <c r="AA273" s="81">
        <f>Y273</f>
        <v>4.3032215600586891E-2</v>
      </c>
      <c r="AB273" s="81">
        <f t="shared" ref="AB273:AB289" si="536">Z273</f>
        <v>4.3032215600586891E-2</v>
      </c>
      <c r="AC273" s="81">
        <v>0</v>
      </c>
      <c r="AD273" s="81">
        <f>IFERROR(AC273/AC$290*AD$290,0)</f>
        <v>0</v>
      </c>
      <c r="AE273" s="81">
        <v>0</v>
      </c>
      <c r="AF273" s="81">
        <f>AE273</f>
        <v>0</v>
      </c>
      <c r="AG273" s="81">
        <f>AA273+AC273-AE273</f>
        <v>4.3032215600586891E-2</v>
      </c>
      <c r="AH273" s="81">
        <f t="shared" ref="AH273:AH289" si="537">AB273+AD273-AF273</f>
        <v>4.3032215600586891E-2</v>
      </c>
      <c r="AI273" s="82">
        <f>AG273</f>
        <v>4.3032215600586891E-2</v>
      </c>
      <c r="AJ273" s="82">
        <f t="shared" ref="AJ273:AJ289" si="538">AH273</f>
        <v>4.3032215600586891E-2</v>
      </c>
      <c r="AK273" s="82">
        <v>0</v>
      </c>
      <c r="AL273" s="82">
        <f>IFERROR(AK273/AK$290*AL$290,0)</f>
        <v>0</v>
      </c>
      <c r="AM273" s="82">
        <v>0</v>
      </c>
      <c r="AN273" s="82">
        <f>AM273</f>
        <v>0</v>
      </c>
      <c r="AO273" s="82">
        <f>AI273+AK273-AM273</f>
        <v>4.3032215600586891E-2</v>
      </c>
      <c r="AP273" s="82">
        <f t="shared" ref="AP273:AP289" si="539">AJ273+AL273-AN273</f>
        <v>4.3032215600586891E-2</v>
      </c>
      <c r="AQ273" s="83">
        <f>AO273</f>
        <v>4.3032215600586891E-2</v>
      </c>
      <c r="AR273" s="83">
        <f t="shared" ref="AR273:AR289" si="540">AP273</f>
        <v>4.3032215600586891E-2</v>
      </c>
      <c r="AS273" s="83">
        <v>0</v>
      </c>
      <c r="AT273" s="83">
        <f>IFERROR(AS273/AS$290*AT$290,0)</f>
        <v>0</v>
      </c>
      <c r="AU273" s="83">
        <v>0</v>
      </c>
      <c r="AV273" s="83">
        <f>AU273</f>
        <v>0</v>
      </c>
      <c r="AW273" s="83">
        <f>AQ273+AS273-AU273</f>
        <v>4.3032215600586891E-2</v>
      </c>
      <c r="AX273" s="83">
        <f t="shared" ref="AX273:AX289" si="541">AR273+AT273-AV273</f>
        <v>4.3032215600586891E-2</v>
      </c>
    </row>
    <row r="274" spans="2:50" x14ac:dyDescent="0.35">
      <c r="B274" s="7" t="s">
        <v>134</v>
      </c>
      <c r="C274" s="78">
        <v>48.926438184093442</v>
      </c>
      <c r="D274" s="78">
        <f t="shared" ref="D274:D289" si="542">C274</f>
        <v>48.926438184093442</v>
      </c>
      <c r="E274" s="78">
        <v>2.9771771569999999</v>
      </c>
      <c r="F274" s="78">
        <f t="shared" ref="F274:F289" si="543">IFERROR(E274/E$290*F$290,0)</f>
        <v>2.9744209448304675</v>
      </c>
      <c r="G274" s="78">
        <v>0</v>
      </c>
      <c r="H274" s="78">
        <f t="shared" ref="H274:H289" si="544">G274</f>
        <v>0</v>
      </c>
      <c r="I274" s="78">
        <f t="shared" ref="I274:I289" si="545">C274+E274-G274</f>
        <v>51.903615341093442</v>
      </c>
      <c r="J274" s="78">
        <f t="shared" si="531"/>
        <v>51.900859128923912</v>
      </c>
      <c r="K274" s="79">
        <f t="shared" ref="K274:K289" si="546">I274</f>
        <v>51.903615341093442</v>
      </c>
      <c r="L274" s="79">
        <f t="shared" si="532"/>
        <v>51.900859128923912</v>
      </c>
      <c r="M274" s="79">
        <v>2.7254460739999997</v>
      </c>
      <c r="N274" s="79">
        <f t="shared" ref="N274:N289" si="547">IFERROR(M274/M$290*N$290,0)</f>
        <v>2.7197947933929409</v>
      </c>
      <c r="O274" s="79">
        <v>0</v>
      </c>
      <c r="P274" s="79">
        <f t="shared" ref="P274:P289" si="548">O274</f>
        <v>0</v>
      </c>
      <c r="Q274" s="79">
        <f t="shared" ref="Q274:Q289" si="549">K274+M274-O274</f>
        <v>54.629061415093439</v>
      </c>
      <c r="R274" s="79">
        <f t="shared" si="533"/>
        <v>54.620653922316855</v>
      </c>
      <c r="S274" s="80">
        <f t="shared" ref="S274:S289" si="550">Q274</f>
        <v>54.629061415093439</v>
      </c>
      <c r="T274" s="80">
        <f t="shared" si="534"/>
        <v>54.620653922316855</v>
      </c>
      <c r="U274" s="80">
        <v>0.804537905</v>
      </c>
      <c r="V274" s="80">
        <f t="shared" ref="V274:V289" si="551">IFERROR(U274/U$290*V$290,0)</f>
        <v>0.80375629978418639</v>
      </c>
      <c r="W274" s="80">
        <v>0</v>
      </c>
      <c r="X274" s="80">
        <f t="shared" ref="X274:X289" si="552">W274</f>
        <v>0</v>
      </c>
      <c r="Y274" s="80">
        <f t="shared" ref="Y274:Y289" si="553">S274+U274-W274</f>
        <v>55.433599320093435</v>
      </c>
      <c r="Z274" s="80">
        <f t="shared" si="535"/>
        <v>55.424410222101038</v>
      </c>
      <c r="AA274" s="81">
        <f t="shared" ref="AA274:AA289" si="554">Y274</f>
        <v>55.433599320093435</v>
      </c>
      <c r="AB274" s="81">
        <f t="shared" si="536"/>
        <v>55.424410222101038</v>
      </c>
      <c r="AC274" s="81">
        <v>0</v>
      </c>
      <c r="AD274" s="81">
        <f t="shared" ref="AD274:AD289" si="555">IFERROR(AC274/AC$290*AD$290,0)</f>
        <v>0</v>
      </c>
      <c r="AE274" s="81">
        <v>0</v>
      </c>
      <c r="AF274" s="81">
        <f t="shared" ref="AF274:AF289" si="556">AE274</f>
        <v>0</v>
      </c>
      <c r="AG274" s="81">
        <f t="shared" ref="AG274:AG289" si="557">AA274+AC274-AE274</f>
        <v>55.433599320093435</v>
      </c>
      <c r="AH274" s="81">
        <f t="shared" si="537"/>
        <v>55.424410222101038</v>
      </c>
      <c r="AI274" s="82">
        <f t="shared" ref="AI274:AI289" si="558">AG274</f>
        <v>55.433599320093435</v>
      </c>
      <c r="AJ274" s="82">
        <f t="shared" si="538"/>
        <v>55.424410222101038</v>
      </c>
      <c r="AK274" s="82">
        <v>0</v>
      </c>
      <c r="AL274" s="82">
        <f t="shared" ref="AL274:AL289" si="559">IFERROR(AK274/AK$290*AL$290,0)</f>
        <v>0</v>
      </c>
      <c r="AM274" s="82">
        <v>0</v>
      </c>
      <c r="AN274" s="82">
        <f t="shared" ref="AN274:AN289" si="560">AM274</f>
        <v>0</v>
      </c>
      <c r="AO274" s="82">
        <f t="shared" ref="AO274:AO289" si="561">AI274+AK274-AM274</f>
        <v>55.433599320093435</v>
      </c>
      <c r="AP274" s="82">
        <f t="shared" si="539"/>
        <v>55.424410222101038</v>
      </c>
      <c r="AQ274" s="83">
        <f t="shared" ref="AQ274:AQ289" si="562">AO274</f>
        <v>55.433599320093435</v>
      </c>
      <c r="AR274" s="83">
        <f t="shared" si="540"/>
        <v>55.424410222101038</v>
      </c>
      <c r="AS274" s="83">
        <v>0</v>
      </c>
      <c r="AT274" s="83">
        <f t="shared" ref="AT274:AT289" si="563">IFERROR(AS274/AS$290*AT$290,0)</f>
        <v>0</v>
      </c>
      <c r="AU274" s="83">
        <v>0</v>
      </c>
      <c r="AV274" s="83">
        <f t="shared" ref="AV274:AV289" si="564">AU274</f>
        <v>0</v>
      </c>
      <c r="AW274" s="83">
        <f t="shared" ref="AW274:AW289" si="565">AQ274+AS274-AU274</f>
        <v>55.433599320093435</v>
      </c>
      <c r="AX274" s="83">
        <f t="shared" si="541"/>
        <v>55.424410222101038</v>
      </c>
    </row>
    <row r="275" spans="2:50" ht="31" x14ac:dyDescent="0.35">
      <c r="B275" s="84" t="s">
        <v>135</v>
      </c>
      <c r="C275" s="78">
        <v>0</v>
      </c>
      <c r="D275" s="78">
        <f t="shared" si="542"/>
        <v>0</v>
      </c>
      <c r="E275" s="78">
        <v>0</v>
      </c>
      <c r="F275" s="78">
        <f t="shared" si="543"/>
        <v>0</v>
      </c>
      <c r="G275" s="78">
        <v>0</v>
      </c>
      <c r="H275" s="78">
        <f t="shared" si="544"/>
        <v>0</v>
      </c>
      <c r="I275" s="78">
        <f t="shared" si="545"/>
        <v>0</v>
      </c>
      <c r="J275" s="78">
        <f t="shared" si="531"/>
        <v>0</v>
      </c>
      <c r="K275" s="79">
        <f t="shared" si="546"/>
        <v>0</v>
      </c>
      <c r="L275" s="79">
        <f t="shared" si="532"/>
        <v>0</v>
      </c>
      <c r="M275" s="79">
        <v>0</v>
      </c>
      <c r="N275" s="79">
        <f t="shared" si="547"/>
        <v>0</v>
      </c>
      <c r="O275" s="79">
        <v>0</v>
      </c>
      <c r="P275" s="79">
        <f t="shared" si="548"/>
        <v>0</v>
      </c>
      <c r="Q275" s="79">
        <f t="shared" si="549"/>
        <v>0</v>
      </c>
      <c r="R275" s="79">
        <f t="shared" si="533"/>
        <v>0</v>
      </c>
      <c r="S275" s="80">
        <f t="shared" si="550"/>
        <v>0</v>
      </c>
      <c r="T275" s="80">
        <f t="shared" si="534"/>
        <v>0</v>
      </c>
      <c r="U275" s="80">
        <v>0</v>
      </c>
      <c r="V275" s="80">
        <f t="shared" si="551"/>
        <v>0</v>
      </c>
      <c r="W275" s="80">
        <v>0</v>
      </c>
      <c r="X275" s="80">
        <f t="shared" si="552"/>
        <v>0</v>
      </c>
      <c r="Y275" s="80">
        <f t="shared" si="553"/>
        <v>0</v>
      </c>
      <c r="Z275" s="80">
        <f t="shared" si="535"/>
        <v>0</v>
      </c>
      <c r="AA275" s="81">
        <f t="shared" si="554"/>
        <v>0</v>
      </c>
      <c r="AB275" s="81">
        <f t="shared" si="536"/>
        <v>0</v>
      </c>
      <c r="AC275" s="81">
        <v>0</v>
      </c>
      <c r="AD275" s="81">
        <f t="shared" si="555"/>
        <v>0</v>
      </c>
      <c r="AE275" s="81">
        <v>0</v>
      </c>
      <c r="AF275" s="81">
        <f t="shared" si="556"/>
        <v>0</v>
      </c>
      <c r="AG275" s="81">
        <f t="shared" si="557"/>
        <v>0</v>
      </c>
      <c r="AH275" s="81">
        <f t="shared" si="537"/>
        <v>0</v>
      </c>
      <c r="AI275" s="82">
        <f t="shared" si="558"/>
        <v>0</v>
      </c>
      <c r="AJ275" s="82">
        <f t="shared" si="538"/>
        <v>0</v>
      </c>
      <c r="AK275" s="82">
        <v>0</v>
      </c>
      <c r="AL275" s="82">
        <f t="shared" si="559"/>
        <v>0</v>
      </c>
      <c r="AM275" s="82">
        <v>0</v>
      </c>
      <c r="AN275" s="82">
        <f t="shared" si="560"/>
        <v>0</v>
      </c>
      <c r="AO275" s="82">
        <f t="shared" si="561"/>
        <v>0</v>
      </c>
      <c r="AP275" s="82">
        <f t="shared" si="539"/>
        <v>0</v>
      </c>
      <c r="AQ275" s="83">
        <f t="shared" si="562"/>
        <v>0</v>
      </c>
      <c r="AR275" s="83">
        <f t="shared" si="540"/>
        <v>0</v>
      </c>
      <c r="AS275" s="83">
        <v>0</v>
      </c>
      <c r="AT275" s="83">
        <f t="shared" si="563"/>
        <v>0</v>
      </c>
      <c r="AU275" s="83">
        <v>0</v>
      </c>
      <c r="AV275" s="83">
        <f t="shared" si="564"/>
        <v>0</v>
      </c>
      <c r="AW275" s="83">
        <f t="shared" si="565"/>
        <v>0</v>
      </c>
      <c r="AX275" s="83">
        <f t="shared" si="541"/>
        <v>0</v>
      </c>
    </row>
    <row r="276" spans="2:50" x14ac:dyDescent="0.35">
      <c r="B276" s="7" t="s">
        <v>136</v>
      </c>
      <c r="C276" s="78">
        <v>3.9666746692682118</v>
      </c>
      <c r="D276" s="78">
        <f t="shared" si="542"/>
        <v>3.9666746692682118</v>
      </c>
      <c r="E276" s="78">
        <v>0.2391933</v>
      </c>
      <c r="F276" s="78">
        <f t="shared" si="543"/>
        <v>0.23897185953825908</v>
      </c>
      <c r="G276" s="78">
        <v>0</v>
      </c>
      <c r="H276" s="78">
        <f t="shared" si="544"/>
        <v>0</v>
      </c>
      <c r="I276" s="78">
        <f t="shared" si="545"/>
        <v>4.2058679692682119</v>
      </c>
      <c r="J276" s="78">
        <f t="shared" si="531"/>
        <v>4.2056465288064713</v>
      </c>
      <c r="K276" s="79">
        <f t="shared" si="546"/>
        <v>4.2058679692682119</v>
      </c>
      <c r="L276" s="79">
        <f t="shared" si="532"/>
        <v>4.2056465288064713</v>
      </c>
      <c r="M276" s="79">
        <v>0</v>
      </c>
      <c r="N276" s="79">
        <f t="shared" si="547"/>
        <v>0</v>
      </c>
      <c r="O276" s="79">
        <v>0</v>
      </c>
      <c r="P276" s="79">
        <f t="shared" si="548"/>
        <v>0</v>
      </c>
      <c r="Q276" s="79">
        <f t="shared" si="549"/>
        <v>4.2058679692682119</v>
      </c>
      <c r="R276" s="79">
        <f t="shared" si="533"/>
        <v>4.2056465288064713</v>
      </c>
      <c r="S276" s="80">
        <f t="shared" si="550"/>
        <v>4.2058679692682119</v>
      </c>
      <c r="T276" s="80">
        <f t="shared" si="534"/>
        <v>4.2056465288064713</v>
      </c>
      <c r="U276" s="80">
        <v>0</v>
      </c>
      <c r="V276" s="80">
        <f t="shared" si="551"/>
        <v>0</v>
      </c>
      <c r="W276" s="80">
        <v>0</v>
      </c>
      <c r="X276" s="80">
        <f t="shared" si="552"/>
        <v>0</v>
      </c>
      <c r="Y276" s="80">
        <f t="shared" si="553"/>
        <v>4.2058679692682119</v>
      </c>
      <c r="Z276" s="80">
        <f t="shared" si="535"/>
        <v>4.2056465288064713</v>
      </c>
      <c r="AA276" s="81">
        <f t="shared" si="554"/>
        <v>4.2058679692682119</v>
      </c>
      <c r="AB276" s="81">
        <f t="shared" si="536"/>
        <v>4.2056465288064713</v>
      </c>
      <c r="AC276" s="81">
        <v>0</v>
      </c>
      <c r="AD276" s="81">
        <f t="shared" si="555"/>
        <v>0</v>
      </c>
      <c r="AE276" s="81">
        <v>0</v>
      </c>
      <c r="AF276" s="81">
        <f t="shared" si="556"/>
        <v>0</v>
      </c>
      <c r="AG276" s="81">
        <f t="shared" si="557"/>
        <v>4.2058679692682119</v>
      </c>
      <c r="AH276" s="81">
        <f t="shared" si="537"/>
        <v>4.2056465288064713</v>
      </c>
      <c r="AI276" s="82">
        <f t="shared" si="558"/>
        <v>4.2058679692682119</v>
      </c>
      <c r="AJ276" s="82">
        <f t="shared" si="538"/>
        <v>4.2056465288064713</v>
      </c>
      <c r="AK276" s="82">
        <v>0</v>
      </c>
      <c r="AL276" s="82">
        <f t="shared" si="559"/>
        <v>0</v>
      </c>
      <c r="AM276" s="82">
        <v>0</v>
      </c>
      <c r="AN276" s="82">
        <f t="shared" si="560"/>
        <v>0</v>
      </c>
      <c r="AO276" s="82">
        <f t="shared" si="561"/>
        <v>4.2058679692682119</v>
      </c>
      <c r="AP276" s="82">
        <f t="shared" si="539"/>
        <v>4.2056465288064713</v>
      </c>
      <c r="AQ276" s="83">
        <f t="shared" si="562"/>
        <v>4.2058679692682119</v>
      </c>
      <c r="AR276" s="83">
        <f t="shared" si="540"/>
        <v>4.2056465288064713</v>
      </c>
      <c r="AS276" s="83">
        <v>0</v>
      </c>
      <c r="AT276" s="83">
        <f t="shared" si="563"/>
        <v>0</v>
      </c>
      <c r="AU276" s="83">
        <v>0</v>
      </c>
      <c r="AV276" s="83">
        <f t="shared" si="564"/>
        <v>0</v>
      </c>
      <c r="AW276" s="83">
        <f t="shared" si="565"/>
        <v>4.2058679692682119</v>
      </c>
      <c r="AX276" s="83">
        <f t="shared" si="541"/>
        <v>4.2056465288064713</v>
      </c>
    </row>
    <row r="277" spans="2:50" x14ac:dyDescent="0.35">
      <c r="B277" s="7" t="s">
        <v>137</v>
      </c>
      <c r="C277" s="78">
        <v>16.729680845356793</v>
      </c>
      <c r="D277" s="78">
        <f t="shared" si="542"/>
        <v>16.729680845356793</v>
      </c>
      <c r="E277" s="78">
        <v>4.6912845230000002</v>
      </c>
      <c r="F277" s="78">
        <f t="shared" si="543"/>
        <v>4.6869414238792002</v>
      </c>
      <c r="G277" s="78">
        <v>0</v>
      </c>
      <c r="H277" s="78">
        <f t="shared" si="544"/>
        <v>0</v>
      </c>
      <c r="I277" s="78">
        <f t="shared" si="545"/>
        <v>21.420965368356793</v>
      </c>
      <c r="J277" s="78">
        <f t="shared" si="531"/>
        <v>21.416622269235994</v>
      </c>
      <c r="K277" s="79">
        <f t="shared" si="546"/>
        <v>21.420965368356793</v>
      </c>
      <c r="L277" s="79">
        <f t="shared" si="532"/>
        <v>21.416622269235994</v>
      </c>
      <c r="M277" s="79">
        <v>1.3555849999999999E-2</v>
      </c>
      <c r="N277" s="79">
        <f t="shared" si="547"/>
        <v>1.3527741605947363E-2</v>
      </c>
      <c r="O277" s="79">
        <v>0</v>
      </c>
      <c r="P277" s="79">
        <f t="shared" si="548"/>
        <v>0</v>
      </c>
      <c r="Q277" s="79">
        <f t="shared" si="549"/>
        <v>21.434521218356792</v>
      </c>
      <c r="R277" s="79">
        <f t="shared" si="533"/>
        <v>21.430150010841942</v>
      </c>
      <c r="S277" s="80">
        <f t="shared" si="550"/>
        <v>21.434521218356792</v>
      </c>
      <c r="T277" s="80">
        <f t="shared" si="534"/>
        <v>21.430150010841942</v>
      </c>
      <c r="U277" s="80">
        <v>0.58143182900000001</v>
      </c>
      <c r="V277" s="80">
        <f t="shared" si="551"/>
        <v>0.5808669704055669</v>
      </c>
      <c r="W277" s="80">
        <v>0</v>
      </c>
      <c r="X277" s="80">
        <f t="shared" si="552"/>
        <v>0</v>
      </c>
      <c r="Y277" s="80">
        <f t="shared" si="553"/>
        <v>22.015953047356792</v>
      </c>
      <c r="Z277" s="80">
        <f t="shared" si="535"/>
        <v>22.011016981247508</v>
      </c>
      <c r="AA277" s="81">
        <f t="shared" si="554"/>
        <v>22.015953047356792</v>
      </c>
      <c r="AB277" s="81">
        <f t="shared" si="536"/>
        <v>22.011016981247508</v>
      </c>
      <c r="AC277" s="81">
        <v>0</v>
      </c>
      <c r="AD277" s="81">
        <f t="shared" si="555"/>
        <v>0</v>
      </c>
      <c r="AE277" s="81">
        <v>0</v>
      </c>
      <c r="AF277" s="81">
        <f t="shared" si="556"/>
        <v>0</v>
      </c>
      <c r="AG277" s="81">
        <f t="shared" si="557"/>
        <v>22.015953047356792</v>
      </c>
      <c r="AH277" s="81">
        <f t="shared" si="537"/>
        <v>22.011016981247508</v>
      </c>
      <c r="AI277" s="82">
        <f t="shared" si="558"/>
        <v>22.015953047356792</v>
      </c>
      <c r="AJ277" s="82">
        <f t="shared" si="538"/>
        <v>22.011016981247508</v>
      </c>
      <c r="AK277" s="82">
        <v>0</v>
      </c>
      <c r="AL277" s="82">
        <f t="shared" si="559"/>
        <v>0</v>
      </c>
      <c r="AM277" s="82">
        <v>0</v>
      </c>
      <c r="AN277" s="82">
        <f t="shared" si="560"/>
        <v>0</v>
      </c>
      <c r="AO277" s="82">
        <f t="shared" si="561"/>
        <v>22.015953047356792</v>
      </c>
      <c r="AP277" s="82">
        <f t="shared" si="539"/>
        <v>22.011016981247508</v>
      </c>
      <c r="AQ277" s="83">
        <f t="shared" si="562"/>
        <v>22.015953047356792</v>
      </c>
      <c r="AR277" s="83">
        <f t="shared" si="540"/>
        <v>22.011016981247508</v>
      </c>
      <c r="AS277" s="83">
        <v>0</v>
      </c>
      <c r="AT277" s="83">
        <f t="shared" si="563"/>
        <v>0</v>
      </c>
      <c r="AU277" s="83">
        <v>0</v>
      </c>
      <c r="AV277" s="83">
        <f t="shared" si="564"/>
        <v>0</v>
      </c>
      <c r="AW277" s="83">
        <f t="shared" si="565"/>
        <v>22.015953047356792</v>
      </c>
      <c r="AX277" s="83">
        <f t="shared" si="541"/>
        <v>22.011016981247508</v>
      </c>
    </row>
    <row r="278" spans="2:50" x14ac:dyDescent="0.35">
      <c r="B278" s="7" t="s">
        <v>138</v>
      </c>
      <c r="C278" s="78">
        <v>83.63742038984185</v>
      </c>
      <c r="D278" s="78">
        <f t="shared" si="542"/>
        <v>83.63742038984185</v>
      </c>
      <c r="E278" s="78">
        <v>4.1384790000000002</v>
      </c>
      <c r="F278" s="78">
        <f t="shared" si="543"/>
        <v>4.1346476773807419</v>
      </c>
      <c r="G278" s="78">
        <v>0</v>
      </c>
      <c r="H278" s="78">
        <f t="shared" si="544"/>
        <v>0</v>
      </c>
      <c r="I278" s="78">
        <f t="shared" si="545"/>
        <v>87.775899389841854</v>
      </c>
      <c r="J278" s="78">
        <f t="shared" si="531"/>
        <v>87.772068067222591</v>
      </c>
      <c r="K278" s="79">
        <f t="shared" si="546"/>
        <v>87.775899389841854</v>
      </c>
      <c r="L278" s="79">
        <f t="shared" si="532"/>
        <v>87.772068067222591</v>
      </c>
      <c r="M278" s="79">
        <v>9.2056465990000014</v>
      </c>
      <c r="N278" s="79">
        <f t="shared" si="547"/>
        <v>9.1865584605126323</v>
      </c>
      <c r="O278" s="79">
        <v>0</v>
      </c>
      <c r="P278" s="79">
        <f t="shared" si="548"/>
        <v>0</v>
      </c>
      <c r="Q278" s="79">
        <f t="shared" si="549"/>
        <v>96.981545988841859</v>
      </c>
      <c r="R278" s="79">
        <f t="shared" si="533"/>
        <v>96.95862652773522</v>
      </c>
      <c r="S278" s="80">
        <f t="shared" si="550"/>
        <v>96.981545988841859</v>
      </c>
      <c r="T278" s="80">
        <f t="shared" si="534"/>
        <v>96.95862652773522</v>
      </c>
      <c r="U278" s="80">
        <v>6.0127354759999996</v>
      </c>
      <c r="V278" s="80">
        <f t="shared" si="551"/>
        <v>6.0068941285878488</v>
      </c>
      <c r="W278" s="80">
        <v>7.73398E-2</v>
      </c>
      <c r="X278" s="80">
        <f t="shared" si="552"/>
        <v>7.73398E-2</v>
      </c>
      <c r="Y278" s="80">
        <f t="shared" si="553"/>
        <v>102.91694166484186</v>
      </c>
      <c r="Z278" s="80">
        <f t="shared" si="535"/>
        <v>102.88818085632306</v>
      </c>
      <c r="AA278" s="81">
        <f t="shared" si="554"/>
        <v>102.91694166484186</v>
      </c>
      <c r="AB278" s="81">
        <f t="shared" si="536"/>
        <v>102.88818085632306</v>
      </c>
      <c r="AC278" s="81">
        <v>66.72</v>
      </c>
      <c r="AD278" s="81">
        <f t="shared" si="555"/>
        <v>54.653169999999996</v>
      </c>
      <c r="AE278" s="81">
        <v>0</v>
      </c>
      <c r="AF278" s="81">
        <f t="shared" si="556"/>
        <v>0</v>
      </c>
      <c r="AG278" s="81">
        <f t="shared" si="557"/>
        <v>169.63694166484186</v>
      </c>
      <c r="AH278" s="81">
        <f t="shared" si="537"/>
        <v>157.54135085632305</v>
      </c>
      <c r="AI278" s="82">
        <f t="shared" si="558"/>
        <v>169.63694166484186</v>
      </c>
      <c r="AJ278" s="82">
        <f t="shared" si="538"/>
        <v>157.54135085632305</v>
      </c>
      <c r="AK278" s="82">
        <v>99.94</v>
      </c>
      <c r="AL278" s="82">
        <f t="shared" si="559"/>
        <v>61.46</v>
      </c>
      <c r="AM278" s="82">
        <v>0</v>
      </c>
      <c r="AN278" s="82">
        <f t="shared" si="560"/>
        <v>0</v>
      </c>
      <c r="AO278" s="82">
        <f t="shared" si="561"/>
        <v>269.57694166484185</v>
      </c>
      <c r="AP278" s="82">
        <f t="shared" si="539"/>
        <v>219.00135085632306</v>
      </c>
      <c r="AQ278" s="83">
        <f t="shared" si="562"/>
        <v>269.57694166484185</v>
      </c>
      <c r="AR278" s="83">
        <f t="shared" si="540"/>
        <v>219.00135085632306</v>
      </c>
      <c r="AS278" s="83">
        <v>144.15</v>
      </c>
      <c r="AT278" s="83">
        <f t="shared" si="563"/>
        <v>61.719999999999992</v>
      </c>
      <c r="AU278" s="83">
        <v>0</v>
      </c>
      <c r="AV278" s="83">
        <f t="shared" si="564"/>
        <v>0</v>
      </c>
      <c r="AW278" s="83">
        <f t="shared" si="565"/>
        <v>413.72694166484189</v>
      </c>
      <c r="AX278" s="83">
        <f t="shared" si="541"/>
        <v>280.72135085632306</v>
      </c>
    </row>
    <row r="279" spans="2:50" x14ac:dyDescent="0.35">
      <c r="B279" s="7" t="s">
        <v>139</v>
      </c>
      <c r="C279" s="78">
        <v>0.54402113064685087</v>
      </c>
      <c r="D279" s="78">
        <f t="shared" si="542"/>
        <v>0.54402113064685087</v>
      </c>
      <c r="E279" s="78">
        <v>0</v>
      </c>
      <c r="F279" s="78">
        <f t="shared" si="543"/>
        <v>0</v>
      </c>
      <c r="G279" s="78">
        <v>0</v>
      </c>
      <c r="H279" s="78">
        <f t="shared" si="544"/>
        <v>0</v>
      </c>
      <c r="I279" s="78">
        <f t="shared" si="545"/>
        <v>0.54402113064685087</v>
      </c>
      <c r="J279" s="78">
        <f t="shared" si="531"/>
        <v>0.54402113064685087</v>
      </c>
      <c r="K279" s="79">
        <f t="shared" si="546"/>
        <v>0.54402113064685087</v>
      </c>
      <c r="L279" s="79">
        <f t="shared" si="532"/>
        <v>0.54402113064685087</v>
      </c>
      <c r="M279" s="79">
        <v>0</v>
      </c>
      <c r="N279" s="79">
        <f t="shared" si="547"/>
        <v>0</v>
      </c>
      <c r="O279" s="79">
        <v>0</v>
      </c>
      <c r="P279" s="79">
        <f t="shared" si="548"/>
        <v>0</v>
      </c>
      <c r="Q279" s="79">
        <f t="shared" si="549"/>
        <v>0.54402113064685087</v>
      </c>
      <c r="R279" s="79">
        <f t="shared" si="533"/>
        <v>0.54402113064685087</v>
      </c>
      <c r="S279" s="80">
        <f t="shared" si="550"/>
        <v>0.54402113064685087</v>
      </c>
      <c r="T279" s="80">
        <f t="shared" si="534"/>
        <v>0.54402113064685087</v>
      </c>
      <c r="U279" s="80">
        <v>0</v>
      </c>
      <c r="V279" s="80">
        <f t="shared" si="551"/>
        <v>0</v>
      </c>
      <c r="W279" s="80">
        <v>0</v>
      </c>
      <c r="X279" s="80">
        <f t="shared" si="552"/>
        <v>0</v>
      </c>
      <c r="Y279" s="80">
        <f t="shared" si="553"/>
        <v>0.54402113064685087</v>
      </c>
      <c r="Z279" s="80">
        <f t="shared" si="535"/>
        <v>0.54402113064685087</v>
      </c>
      <c r="AA279" s="81">
        <f t="shared" si="554"/>
        <v>0.54402113064685087</v>
      </c>
      <c r="AB279" s="81">
        <f t="shared" si="536"/>
        <v>0.54402113064685087</v>
      </c>
      <c r="AC279" s="81">
        <v>0</v>
      </c>
      <c r="AD279" s="81">
        <f t="shared" si="555"/>
        <v>0</v>
      </c>
      <c r="AE279" s="81">
        <v>0</v>
      </c>
      <c r="AF279" s="81">
        <f t="shared" si="556"/>
        <v>0</v>
      </c>
      <c r="AG279" s="81">
        <f t="shared" si="557"/>
        <v>0.54402113064685087</v>
      </c>
      <c r="AH279" s="81">
        <f t="shared" si="537"/>
        <v>0.54402113064685087</v>
      </c>
      <c r="AI279" s="82">
        <f t="shared" si="558"/>
        <v>0.54402113064685087</v>
      </c>
      <c r="AJ279" s="82">
        <f t="shared" si="538"/>
        <v>0.54402113064685087</v>
      </c>
      <c r="AK279" s="82">
        <v>0</v>
      </c>
      <c r="AL279" s="82">
        <f t="shared" si="559"/>
        <v>0</v>
      </c>
      <c r="AM279" s="82">
        <v>0</v>
      </c>
      <c r="AN279" s="82">
        <f t="shared" si="560"/>
        <v>0</v>
      </c>
      <c r="AO279" s="82">
        <f t="shared" si="561"/>
        <v>0.54402113064685087</v>
      </c>
      <c r="AP279" s="82">
        <f t="shared" si="539"/>
        <v>0.54402113064685087</v>
      </c>
      <c r="AQ279" s="83">
        <f t="shared" si="562"/>
        <v>0.54402113064685087</v>
      </c>
      <c r="AR279" s="83">
        <f t="shared" si="540"/>
        <v>0.54402113064685087</v>
      </c>
      <c r="AS279" s="83">
        <v>0</v>
      </c>
      <c r="AT279" s="83">
        <f t="shared" si="563"/>
        <v>0</v>
      </c>
      <c r="AU279" s="83">
        <v>0</v>
      </c>
      <c r="AV279" s="83">
        <f t="shared" si="564"/>
        <v>0</v>
      </c>
      <c r="AW279" s="83">
        <f t="shared" si="565"/>
        <v>0.54402113064685087</v>
      </c>
      <c r="AX279" s="83">
        <f t="shared" si="541"/>
        <v>0.54402113064685087</v>
      </c>
    </row>
    <row r="280" spans="2:50" x14ac:dyDescent="0.35">
      <c r="B280" s="7" t="s">
        <v>140</v>
      </c>
      <c r="C280" s="78">
        <v>0</v>
      </c>
      <c r="D280" s="78">
        <f t="shared" si="542"/>
        <v>0</v>
      </c>
      <c r="E280" s="78">
        <v>0</v>
      </c>
      <c r="F280" s="78">
        <f t="shared" si="543"/>
        <v>0</v>
      </c>
      <c r="G280" s="78">
        <v>0</v>
      </c>
      <c r="H280" s="78">
        <f t="shared" si="544"/>
        <v>0</v>
      </c>
      <c r="I280" s="78">
        <f t="shared" si="545"/>
        <v>0</v>
      </c>
      <c r="J280" s="78">
        <f t="shared" si="531"/>
        <v>0</v>
      </c>
      <c r="K280" s="79">
        <f t="shared" si="546"/>
        <v>0</v>
      </c>
      <c r="L280" s="79">
        <f t="shared" si="532"/>
        <v>0</v>
      </c>
      <c r="M280" s="79">
        <v>0</v>
      </c>
      <c r="N280" s="79">
        <f t="shared" si="547"/>
        <v>0</v>
      </c>
      <c r="O280" s="79">
        <v>0</v>
      </c>
      <c r="P280" s="79">
        <f t="shared" si="548"/>
        <v>0</v>
      </c>
      <c r="Q280" s="79">
        <f t="shared" si="549"/>
        <v>0</v>
      </c>
      <c r="R280" s="79">
        <f t="shared" si="533"/>
        <v>0</v>
      </c>
      <c r="S280" s="80">
        <f t="shared" si="550"/>
        <v>0</v>
      </c>
      <c r="T280" s="80">
        <f t="shared" si="534"/>
        <v>0</v>
      </c>
      <c r="U280" s="80">
        <v>0</v>
      </c>
      <c r="V280" s="80">
        <f t="shared" si="551"/>
        <v>0</v>
      </c>
      <c r="W280" s="80">
        <v>0</v>
      </c>
      <c r="X280" s="80">
        <f t="shared" si="552"/>
        <v>0</v>
      </c>
      <c r="Y280" s="80">
        <f t="shared" si="553"/>
        <v>0</v>
      </c>
      <c r="Z280" s="80">
        <f t="shared" si="535"/>
        <v>0</v>
      </c>
      <c r="AA280" s="81">
        <f t="shared" si="554"/>
        <v>0</v>
      </c>
      <c r="AB280" s="81">
        <f t="shared" si="536"/>
        <v>0</v>
      </c>
      <c r="AC280" s="81">
        <v>0</v>
      </c>
      <c r="AD280" s="81">
        <f t="shared" si="555"/>
        <v>0</v>
      </c>
      <c r="AE280" s="81">
        <v>0</v>
      </c>
      <c r="AF280" s="81">
        <f t="shared" si="556"/>
        <v>0</v>
      </c>
      <c r="AG280" s="81">
        <f t="shared" si="557"/>
        <v>0</v>
      </c>
      <c r="AH280" s="81">
        <f t="shared" si="537"/>
        <v>0</v>
      </c>
      <c r="AI280" s="82">
        <f t="shared" si="558"/>
        <v>0</v>
      </c>
      <c r="AJ280" s="82">
        <f t="shared" si="538"/>
        <v>0</v>
      </c>
      <c r="AK280" s="82">
        <v>0</v>
      </c>
      <c r="AL280" s="82">
        <f t="shared" si="559"/>
        <v>0</v>
      </c>
      <c r="AM280" s="82">
        <v>0</v>
      </c>
      <c r="AN280" s="82">
        <f t="shared" si="560"/>
        <v>0</v>
      </c>
      <c r="AO280" s="82">
        <f t="shared" si="561"/>
        <v>0</v>
      </c>
      <c r="AP280" s="82">
        <f t="shared" si="539"/>
        <v>0</v>
      </c>
      <c r="AQ280" s="83">
        <f t="shared" si="562"/>
        <v>0</v>
      </c>
      <c r="AR280" s="83">
        <f t="shared" si="540"/>
        <v>0</v>
      </c>
      <c r="AS280" s="83">
        <v>0</v>
      </c>
      <c r="AT280" s="83">
        <f t="shared" si="563"/>
        <v>0</v>
      </c>
      <c r="AU280" s="83">
        <v>0</v>
      </c>
      <c r="AV280" s="83">
        <f t="shared" si="564"/>
        <v>0</v>
      </c>
      <c r="AW280" s="83">
        <f t="shared" si="565"/>
        <v>0</v>
      </c>
      <c r="AX280" s="83">
        <f t="shared" si="541"/>
        <v>0</v>
      </c>
    </row>
    <row r="281" spans="2:50" x14ac:dyDescent="0.35">
      <c r="B281" s="7" t="s">
        <v>141</v>
      </c>
      <c r="C281" s="78">
        <v>8.7835554063562427</v>
      </c>
      <c r="D281" s="78">
        <f t="shared" si="542"/>
        <v>8.7835554063562427</v>
      </c>
      <c r="E281" s="78">
        <v>0</v>
      </c>
      <c r="F281" s="78">
        <f t="shared" si="543"/>
        <v>0</v>
      </c>
      <c r="G281" s="78">
        <v>0</v>
      </c>
      <c r="H281" s="78">
        <f t="shared" si="544"/>
        <v>0</v>
      </c>
      <c r="I281" s="78">
        <f t="shared" si="545"/>
        <v>8.7835554063562427</v>
      </c>
      <c r="J281" s="78">
        <f t="shared" si="531"/>
        <v>8.7835554063562427</v>
      </c>
      <c r="K281" s="79">
        <f t="shared" si="546"/>
        <v>8.7835554063562427</v>
      </c>
      <c r="L281" s="79">
        <f t="shared" si="532"/>
        <v>8.7835554063562427</v>
      </c>
      <c r="M281" s="79">
        <v>0</v>
      </c>
      <c r="N281" s="79">
        <f t="shared" si="547"/>
        <v>0</v>
      </c>
      <c r="O281" s="79">
        <v>0</v>
      </c>
      <c r="P281" s="79">
        <f t="shared" si="548"/>
        <v>0</v>
      </c>
      <c r="Q281" s="79">
        <f t="shared" si="549"/>
        <v>8.7835554063562427</v>
      </c>
      <c r="R281" s="79">
        <f t="shared" si="533"/>
        <v>8.7835554063562427</v>
      </c>
      <c r="S281" s="80">
        <f t="shared" si="550"/>
        <v>8.7835554063562427</v>
      </c>
      <c r="T281" s="80">
        <f t="shared" si="534"/>
        <v>8.7835554063562427</v>
      </c>
      <c r="U281" s="80">
        <v>0</v>
      </c>
      <c r="V281" s="80">
        <f t="shared" si="551"/>
        <v>0</v>
      </c>
      <c r="W281" s="80">
        <v>0</v>
      </c>
      <c r="X281" s="80">
        <f t="shared" si="552"/>
        <v>0</v>
      </c>
      <c r="Y281" s="80">
        <f t="shared" si="553"/>
        <v>8.7835554063562427</v>
      </c>
      <c r="Z281" s="80">
        <f t="shared" si="535"/>
        <v>8.7835554063562427</v>
      </c>
      <c r="AA281" s="81">
        <f t="shared" si="554"/>
        <v>8.7835554063562427</v>
      </c>
      <c r="AB281" s="81">
        <f t="shared" si="536"/>
        <v>8.7835554063562427</v>
      </c>
      <c r="AC281" s="81">
        <v>0</v>
      </c>
      <c r="AD281" s="81">
        <f t="shared" si="555"/>
        <v>0</v>
      </c>
      <c r="AE281" s="81">
        <v>0</v>
      </c>
      <c r="AF281" s="81">
        <f t="shared" si="556"/>
        <v>0</v>
      </c>
      <c r="AG281" s="81">
        <f t="shared" si="557"/>
        <v>8.7835554063562427</v>
      </c>
      <c r="AH281" s="81">
        <f t="shared" si="537"/>
        <v>8.7835554063562427</v>
      </c>
      <c r="AI281" s="82">
        <f t="shared" si="558"/>
        <v>8.7835554063562427</v>
      </c>
      <c r="AJ281" s="82">
        <f t="shared" si="538"/>
        <v>8.7835554063562427</v>
      </c>
      <c r="AK281" s="82">
        <v>0</v>
      </c>
      <c r="AL281" s="82">
        <f t="shared" si="559"/>
        <v>0</v>
      </c>
      <c r="AM281" s="82">
        <v>0</v>
      </c>
      <c r="AN281" s="82">
        <f t="shared" si="560"/>
        <v>0</v>
      </c>
      <c r="AO281" s="82">
        <f t="shared" si="561"/>
        <v>8.7835554063562427</v>
      </c>
      <c r="AP281" s="82">
        <f t="shared" si="539"/>
        <v>8.7835554063562427</v>
      </c>
      <c r="AQ281" s="83">
        <f t="shared" si="562"/>
        <v>8.7835554063562427</v>
      </c>
      <c r="AR281" s="83">
        <f t="shared" si="540"/>
        <v>8.7835554063562427</v>
      </c>
      <c r="AS281" s="83">
        <v>0</v>
      </c>
      <c r="AT281" s="83">
        <f t="shared" si="563"/>
        <v>0</v>
      </c>
      <c r="AU281" s="83">
        <v>0</v>
      </c>
      <c r="AV281" s="83">
        <f t="shared" si="564"/>
        <v>0</v>
      </c>
      <c r="AW281" s="83">
        <f t="shared" si="565"/>
        <v>8.7835554063562427</v>
      </c>
      <c r="AX281" s="83">
        <f t="shared" si="541"/>
        <v>8.7835554063562427</v>
      </c>
    </row>
    <row r="282" spans="2:50" x14ac:dyDescent="0.35">
      <c r="B282" s="7" t="s">
        <v>142</v>
      </c>
      <c r="C282" s="78">
        <v>3.8584223937857942</v>
      </c>
      <c r="D282" s="78">
        <f t="shared" si="542"/>
        <v>3.8584223937857942</v>
      </c>
      <c r="E282" s="78">
        <v>0.14352172699999999</v>
      </c>
      <c r="F282" s="78">
        <f t="shared" si="543"/>
        <v>0.14338885740249566</v>
      </c>
      <c r="G282" s="78">
        <v>0.42757289999999998</v>
      </c>
      <c r="H282" s="78">
        <f t="shared" si="544"/>
        <v>0.42757289999999998</v>
      </c>
      <c r="I282" s="78">
        <f t="shared" si="545"/>
        <v>3.5743712207857938</v>
      </c>
      <c r="J282" s="78">
        <f t="shared" si="531"/>
        <v>3.5742383511882898</v>
      </c>
      <c r="K282" s="79">
        <f t="shared" si="546"/>
        <v>3.5743712207857938</v>
      </c>
      <c r="L282" s="79">
        <f t="shared" si="532"/>
        <v>3.5742383511882898</v>
      </c>
      <c r="M282" s="79">
        <v>0.48228579999999999</v>
      </c>
      <c r="N282" s="79">
        <f t="shared" si="547"/>
        <v>0.48128576833010162</v>
      </c>
      <c r="O282" s="79">
        <v>0</v>
      </c>
      <c r="P282" s="79">
        <f t="shared" si="548"/>
        <v>0</v>
      </c>
      <c r="Q282" s="79">
        <f t="shared" si="549"/>
        <v>4.0566570207857939</v>
      </c>
      <c r="R282" s="79">
        <f t="shared" si="533"/>
        <v>4.0555241195183918</v>
      </c>
      <c r="S282" s="80">
        <f t="shared" si="550"/>
        <v>4.0566570207857939</v>
      </c>
      <c r="T282" s="80">
        <f t="shared" si="534"/>
        <v>4.0555241195183918</v>
      </c>
      <c r="U282" s="80">
        <v>0</v>
      </c>
      <c r="V282" s="80">
        <f t="shared" si="551"/>
        <v>0</v>
      </c>
      <c r="W282" s="80">
        <v>0</v>
      </c>
      <c r="X282" s="80">
        <f t="shared" si="552"/>
        <v>0</v>
      </c>
      <c r="Y282" s="80">
        <f t="shared" si="553"/>
        <v>4.0566570207857939</v>
      </c>
      <c r="Z282" s="80">
        <f t="shared" si="535"/>
        <v>4.0555241195183918</v>
      </c>
      <c r="AA282" s="81">
        <f t="shared" si="554"/>
        <v>4.0566570207857939</v>
      </c>
      <c r="AB282" s="81">
        <f t="shared" si="536"/>
        <v>4.0555241195183918</v>
      </c>
      <c r="AC282" s="81">
        <v>0</v>
      </c>
      <c r="AD282" s="81">
        <f t="shared" si="555"/>
        <v>0</v>
      </c>
      <c r="AE282" s="81">
        <v>0</v>
      </c>
      <c r="AF282" s="81">
        <f t="shared" si="556"/>
        <v>0</v>
      </c>
      <c r="AG282" s="81">
        <f t="shared" si="557"/>
        <v>4.0566570207857939</v>
      </c>
      <c r="AH282" s="81">
        <f t="shared" si="537"/>
        <v>4.0555241195183918</v>
      </c>
      <c r="AI282" s="82">
        <f t="shared" si="558"/>
        <v>4.0566570207857939</v>
      </c>
      <c r="AJ282" s="82">
        <f t="shared" si="538"/>
        <v>4.0555241195183918</v>
      </c>
      <c r="AK282" s="82">
        <v>0</v>
      </c>
      <c r="AL282" s="82">
        <f t="shared" si="559"/>
        <v>0</v>
      </c>
      <c r="AM282" s="82">
        <v>0</v>
      </c>
      <c r="AN282" s="82">
        <f t="shared" si="560"/>
        <v>0</v>
      </c>
      <c r="AO282" s="82">
        <f t="shared" si="561"/>
        <v>4.0566570207857939</v>
      </c>
      <c r="AP282" s="82">
        <f t="shared" si="539"/>
        <v>4.0555241195183918</v>
      </c>
      <c r="AQ282" s="83">
        <f t="shared" si="562"/>
        <v>4.0566570207857939</v>
      </c>
      <c r="AR282" s="83">
        <f t="shared" si="540"/>
        <v>4.0555241195183918</v>
      </c>
      <c r="AS282" s="83">
        <v>0</v>
      </c>
      <c r="AT282" s="83">
        <f t="shared" si="563"/>
        <v>0</v>
      </c>
      <c r="AU282" s="83">
        <v>0</v>
      </c>
      <c r="AV282" s="83">
        <f t="shared" si="564"/>
        <v>0</v>
      </c>
      <c r="AW282" s="83">
        <f t="shared" si="565"/>
        <v>4.0566570207857939</v>
      </c>
      <c r="AX282" s="83">
        <f t="shared" si="541"/>
        <v>4.0555241195183918</v>
      </c>
    </row>
    <row r="283" spans="2:50" x14ac:dyDescent="0.35">
      <c r="B283" s="7" t="s">
        <v>143</v>
      </c>
      <c r="C283" s="78">
        <v>4.5168116140754915</v>
      </c>
      <c r="D283" s="78">
        <f t="shared" si="542"/>
        <v>4.5168116140754915</v>
      </c>
      <c r="E283" s="78">
        <v>0.227902724</v>
      </c>
      <c r="F283" s="78">
        <f t="shared" si="543"/>
        <v>0.22769173613188426</v>
      </c>
      <c r="G283" s="78">
        <v>0</v>
      </c>
      <c r="H283" s="78">
        <f t="shared" si="544"/>
        <v>0</v>
      </c>
      <c r="I283" s="78">
        <f t="shared" si="545"/>
        <v>4.7447143380754913</v>
      </c>
      <c r="J283" s="78">
        <f t="shared" si="531"/>
        <v>4.7445033502073759</v>
      </c>
      <c r="K283" s="79">
        <f t="shared" si="546"/>
        <v>4.7447143380754913</v>
      </c>
      <c r="L283" s="79">
        <f t="shared" si="532"/>
        <v>4.7445033502073759</v>
      </c>
      <c r="M283" s="79">
        <v>1.5220256410000002</v>
      </c>
      <c r="N283" s="79">
        <f t="shared" si="547"/>
        <v>1.51886968276238</v>
      </c>
      <c r="O283" s="79">
        <v>0</v>
      </c>
      <c r="P283" s="79">
        <f t="shared" si="548"/>
        <v>0</v>
      </c>
      <c r="Q283" s="79">
        <f t="shared" si="549"/>
        <v>6.2667399790754912</v>
      </c>
      <c r="R283" s="79">
        <f t="shared" si="533"/>
        <v>6.2633730329697563</v>
      </c>
      <c r="S283" s="80">
        <f t="shared" si="550"/>
        <v>6.2667399790754912</v>
      </c>
      <c r="T283" s="80">
        <f t="shared" si="534"/>
        <v>6.2633730329697563</v>
      </c>
      <c r="U283" s="80">
        <v>3.2695287000000003E-2</v>
      </c>
      <c r="V283" s="80">
        <f t="shared" si="551"/>
        <v>3.2663523665180216E-2</v>
      </c>
      <c r="W283" s="80">
        <v>0</v>
      </c>
      <c r="X283" s="80">
        <f t="shared" si="552"/>
        <v>0</v>
      </c>
      <c r="Y283" s="80">
        <f t="shared" si="553"/>
        <v>6.2994352660754913</v>
      </c>
      <c r="Z283" s="80">
        <f t="shared" si="535"/>
        <v>6.2960365566349363</v>
      </c>
      <c r="AA283" s="81">
        <f t="shared" si="554"/>
        <v>6.2994352660754913</v>
      </c>
      <c r="AB283" s="81">
        <f t="shared" si="536"/>
        <v>6.2960365566349363</v>
      </c>
      <c r="AC283" s="81">
        <v>0</v>
      </c>
      <c r="AD283" s="81">
        <f t="shared" si="555"/>
        <v>0</v>
      </c>
      <c r="AE283" s="81">
        <v>0</v>
      </c>
      <c r="AF283" s="81">
        <f t="shared" si="556"/>
        <v>0</v>
      </c>
      <c r="AG283" s="81">
        <f t="shared" si="557"/>
        <v>6.2994352660754913</v>
      </c>
      <c r="AH283" s="81">
        <f t="shared" si="537"/>
        <v>6.2960365566349363</v>
      </c>
      <c r="AI283" s="82">
        <f t="shared" si="558"/>
        <v>6.2994352660754913</v>
      </c>
      <c r="AJ283" s="82">
        <f t="shared" si="538"/>
        <v>6.2960365566349363</v>
      </c>
      <c r="AK283" s="82">
        <v>0</v>
      </c>
      <c r="AL283" s="82">
        <f t="shared" si="559"/>
        <v>0</v>
      </c>
      <c r="AM283" s="82">
        <v>0</v>
      </c>
      <c r="AN283" s="82">
        <f t="shared" si="560"/>
        <v>0</v>
      </c>
      <c r="AO283" s="82">
        <f t="shared" si="561"/>
        <v>6.2994352660754913</v>
      </c>
      <c r="AP283" s="82">
        <f t="shared" si="539"/>
        <v>6.2960365566349363</v>
      </c>
      <c r="AQ283" s="83">
        <f t="shared" si="562"/>
        <v>6.2994352660754913</v>
      </c>
      <c r="AR283" s="83">
        <f t="shared" si="540"/>
        <v>6.2960365566349363</v>
      </c>
      <c r="AS283" s="83">
        <v>0</v>
      </c>
      <c r="AT283" s="83">
        <f t="shared" si="563"/>
        <v>0</v>
      </c>
      <c r="AU283" s="83">
        <v>0</v>
      </c>
      <c r="AV283" s="83">
        <f t="shared" si="564"/>
        <v>0</v>
      </c>
      <c r="AW283" s="83">
        <f t="shared" si="565"/>
        <v>6.2994352660754913</v>
      </c>
      <c r="AX283" s="83">
        <f t="shared" si="541"/>
        <v>6.2960365566349363</v>
      </c>
    </row>
    <row r="284" spans="2:50" x14ac:dyDescent="0.35">
      <c r="B284" s="7" t="s">
        <v>144</v>
      </c>
      <c r="C284" s="78">
        <v>3.5782544888978385</v>
      </c>
      <c r="D284" s="78">
        <f t="shared" si="542"/>
        <v>3.5782544888978385</v>
      </c>
      <c r="E284" s="78">
        <v>0.32854786400000002</v>
      </c>
      <c r="F284" s="78">
        <f t="shared" si="543"/>
        <v>0.32824370083695098</v>
      </c>
      <c r="G284" s="78">
        <v>0</v>
      </c>
      <c r="H284" s="78">
        <f t="shared" si="544"/>
        <v>0</v>
      </c>
      <c r="I284" s="78">
        <f t="shared" si="545"/>
        <v>3.9068023528978384</v>
      </c>
      <c r="J284" s="78">
        <f t="shared" si="531"/>
        <v>3.9064981897347897</v>
      </c>
      <c r="K284" s="79">
        <f t="shared" si="546"/>
        <v>3.9068023528978384</v>
      </c>
      <c r="L284" s="79">
        <f t="shared" si="532"/>
        <v>3.9064981897347897</v>
      </c>
      <c r="M284" s="79">
        <v>0.40934042200000004</v>
      </c>
      <c r="N284" s="79">
        <f t="shared" si="547"/>
        <v>0.40849164439599522</v>
      </c>
      <c r="O284" s="79">
        <v>0</v>
      </c>
      <c r="P284" s="79">
        <f t="shared" si="548"/>
        <v>0</v>
      </c>
      <c r="Q284" s="79">
        <f t="shared" si="549"/>
        <v>4.3161427748978385</v>
      </c>
      <c r="R284" s="79">
        <f t="shared" si="533"/>
        <v>4.3149898341307846</v>
      </c>
      <c r="S284" s="80">
        <f t="shared" si="550"/>
        <v>4.3161427748978385</v>
      </c>
      <c r="T284" s="80">
        <f t="shared" si="534"/>
        <v>4.3149898341307846</v>
      </c>
      <c r="U284" s="80">
        <v>1.0349168949999998</v>
      </c>
      <c r="V284" s="80">
        <f t="shared" si="551"/>
        <v>1.0339114775572187</v>
      </c>
      <c r="W284" s="80">
        <v>0</v>
      </c>
      <c r="X284" s="80">
        <f t="shared" si="552"/>
        <v>0</v>
      </c>
      <c r="Y284" s="80">
        <f t="shared" si="553"/>
        <v>5.3510596698978379</v>
      </c>
      <c r="Z284" s="80">
        <f t="shared" si="535"/>
        <v>5.3489013116880031</v>
      </c>
      <c r="AA284" s="81">
        <f t="shared" si="554"/>
        <v>5.3510596698978379</v>
      </c>
      <c r="AB284" s="81">
        <f t="shared" si="536"/>
        <v>5.3489013116880031</v>
      </c>
      <c r="AC284" s="81">
        <v>0</v>
      </c>
      <c r="AD284" s="81">
        <f t="shared" si="555"/>
        <v>0</v>
      </c>
      <c r="AE284" s="81">
        <v>0</v>
      </c>
      <c r="AF284" s="81">
        <f t="shared" si="556"/>
        <v>0</v>
      </c>
      <c r="AG284" s="81">
        <f t="shared" si="557"/>
        <v>5.3510596698978379</v>
      </c>
      <c r="AH284" s="81">
        <f t="shared" si="537"/>
        <v>5.3489013116880031</v>
      </c>
      <c r="AI284" s="82">
        <f t="shared" si="558"/>
        <v>5.3510596698978379</v>
      </c>
      <c r="AJ284" s="82">
        <f t="shared" si="538"/>
        <v>5.3489013116880031</v>
      </c>
      <c r="AK284" s="82">
        <v>0</v>
      </c>
      <c r="AL284" s="82">
        <f t="shared" si="559"/>
        <v>0</v>
      </c>
      <c r="AM284" s="82">
        <v>0</v>
      </c>
      <c r="AN284" s="82">
        <f t="shared" si="560"/>
        <v>0</v>
      </c>
      <c r="AO284" s="82">
        <f t="shared" si="561"/>
        <v>5.3510596698978379</v>
      </c>
      <c r="AP284" s="82">
        <f t="shared" si="539"/>
        <v>5.3489013116880031</v>
      </c>
      <c r="AQ284" s="83">
        <f t="shared" si="562"/>
        <v>5.3510596698978379</v>
      </c>
      <c r="AR284" s="83">
        <f t="shared" si="540"/>
        <v>5.3489013116880031</v>
      </c>
      <c r="AS284" s="83">
        <v>0</v>
      </c>
      <c r="AT284" s="83">
        <f t="shared" si="563"/>
        <v>0</v>
      </c>
      <c r="AU284" s="83">
        <v>0</v>
      </c>
      <c r="AV284" s="83">
        <f t="shared" si="564"/>
        <v>0</v>
      </c>
      <c r="AW284" s="83">
        <f t="shared" si="565"/>
        <v>5.3510596698978379</v>
      </c>
      <c r="AX284" s="83">
        <f t="shared" si="541"/>
        <v>5.3489013116880031</v>
      </c>
    </row>
    <row r="285" spans="2:50" x14ac:dyDescent="0.35">
      <c r="B285" s="7" t="s">
        <v>145</v>
      </c>
      <c r="C285" s="78">
        <v>0</v>
      </c>
      <c r="D285" s="78">
        <f t="shared" si="542"/>
        <v>0</v>
      </c>
      <c r="E285" s="78">
        <v>0</v>
      </c>
      <c r="F285" s="78">
        <f t="shared" si="543"/>
        <v>0</v>
      </c>
      <c r="G285" s="78">
        <v>0</v>
      </c>
      <c r="H285" s="78">
        <f t="shared" si="544"/>
        <v>0</v>
      </c>
      <c r="I285" s="78">
        <f t="shared" si="545"/>
        <v>0</v>
      </c>
      <c r="J285" s="78">
        <f t="shared" si="531"/>
        <v>0</v>
      </c>
      <c r="K285" s="79">
        <f t="shared" si="546"/>
        <v>0</v>
      </c>
      <c r="L285" s="79">
        <f t="shared" si="532"/>
        <v>0</v>
      </c>
      <c r="M285" s="79">
        <v>0</v>
      </c>
      <c r="N285" s="79">
        <f t="shared" si="547"/>
        <v>0</v>
      </c>
      <c r="O285" s="79">
        <v>0</v>
      </c>
      <c r="P285" s="79">
        <f t="shared" si="548"/>
        <v>0</v>
      </c>
      <c r="Q285" s="79">
        <f t="shared" si="549"/>
        <v>0</v>
      </c>
      <c r="R285" s="79">
        <f t="shared" si="533"/>
        <v>0</v>
      </c>
      <c r="S285" s="80">
        <f t="shared" si="550"/>
        <v>0</v>
      </c>
      <c r="T285" s="80">
        <f t="shared" si="534"/>
        <v>0</v>
      </c>
      <c r="U285" s="80">
        <v>0</v>
      </c>
      <c r="V285" s="80">
        <f t="shared" si="551"/>
        <v>0</v>
      </c>
      <c r="W285" s="80">
        <v>0</v>
      </c>
      <c r="X285" s="80">
        <f t="shared" si="552"/>
        <v>0</v>
      </c>
      <c r="Y285" s="80">
        <f t="shared" si="553"/>
        <v>0</v>
      </c>
      <c r="Z285" s="80">
        <f t="shared" si="535"/>
        <v>0</v>
      </c>
      <c r="AA285" s="81">
        <f t="shared" si="554"/>
        <v>0</v>
      </c>
      <c r="AB285" s="81">
        <f t="shared" si="536"/>
        <v>0</v>
      </c>
      <c r="AC285" s="81">
        <v>0</v>
      </c>
      <c r="AD285" s="81">
        <f t="shared" si="555"/>
        <v>0</v>
      </c>
      <c r="AE285" s="81">
        <v>0</v>
      </c>
      <c r="AF285" s="81">
        <f t="shared" si="556"/>
        <v>0</v>
      </c>
      <c r="AG285" s="81">
        <f t="shared" si="557"/>
        <v>0</v>
      </c>
      <c r="AH285" s="81">
        <f t="shared" si="537"/>
        <v>0</v>
      </c>
      <c r="AI285" s="82">
        <f t="shared" si="558"/>
        <v>0</v>
      </c>
      <c r="AJ285" s="82">
        <f t="shared" si="538"/>
        <v>0</v>
      </c>
      <c r="AK285" s="82">
        <v>0</v>
      </c>
      <c r="AL285" s="82">
        <f t="shared" si="559"/>
        <v>0</v>
      </c>
      <c r="AM285" s="82">
        <v>0</v>
      </c>
      <c r="AN285" s="82">
        <f t="shared" si="560"/>
        <v>0</v>
      </c>
      <c r="AO285" s="82">
        <f t="shared" si="561"/>
        <v>0</v>
      </c>
      <c r="AP285" s="82">
        <f t="shared" si="539"/>
        <v>0</v>
      </c>
      <c r="AQ285" s="83">
        <f t="shared" si="562"/>
        <v>0</v>
      </c>
      <c r="AR285" s="83">
        <f t="shared" si="540"/>
        <v>0</v>
      </c>
      <c r="AS285" s="83">
        <v>0</v>
      </c>
      <c r="AT285" s="83">
        <f t="shared" si="563"/>
        <v>0</v>
      </c>
      <c r="AU285" s="83">
        <v>0</v>
      </c>
      <c r="AV285" s="83">
        <f t="shared" si="564"/>
        <v>0</v>
      </c>
      <c r="AW285" s="83">
        <f t="shared" si="565"/>
        <v>0</v>
      </c>
      <c r="AX285" s="83">
        <f t="shared" si="541"/>
        <v>0</v>
      </c>
    </row>
    <row r="286" spans="2:50" x14ac:dyDescent="0.35">
      <c r="B286" s="7" t="s">
        <v>146</v>
      </c>
      <c r="C286" s="78">
        <v>0</v>
      </c>
      <c r="D286" s="78">
        <f t="shared" si="542"/>
        <v>0</v>
      </c>
      <c r="E286" s="78">
        <v>0</v>
      </c>
      <c r="F286" s="78">
        <f t="shared" si="543"/>
        <v>0</v>
      </c>
      <c r="G286" s="78">
        <v>0</v>
      </c>
      <c r="H286" s="78">
        <f t="shared" si="544"/>
        <v>0</v>
      </c>
      <c r="I286" s="78">
        <f t="shared" si="545"/>
        <v>0</v>
      </c>
      <c r="J286" s="78">
        <f t="shared" si="531"/>
        <v>0</v>
      </c>
      <c r="K286" s="79">
        <f t="shared" si="546"/>
        <v>0</v>
      </c>
      <c r="L286" s="79">
        <f t="shared" si="532"/>
        <v>0</v>
      </c>
      <c r="M286" s="79">
        <v>0</v>
      </c>
      <c r="N286" s="79">
        <f t="shared" si="547"/>
        <v>0</v>
      </c>
      <c r="O286" s="79">
        <v>0</v>
      </c>
      <c r="P286" s="79">
        <f t="shared" si="548"/>
        <v>0</v>
      </c>
      <c r="Q286" s="79">
        <f t="shared" si="549"/>
        <v>0</v>
      </c>
      <c r="R286" s="79">
        <f t="shared" si="533"/>
        <v>0</v>
      </c>
      <c r="S286" s="80">
        <f t="shared" si="550"/>
        <v>0</v>
      </c>
      <c r="T286" s="80">
        <f t="shared" si="534"/>
        <v>0</v>
      </c>
      <c r="U286" s="80">
        <v>0</v>
      </c>
      <c r="V286" s="80">
        <f t="shared" si="551"/>
        <v>0</v>
      </c>
      <c r="W286" s="80">
        <v>0</v>
      </c>
      <c r="X286" s="80">
        <f t="shared" si="552"/>
        <v>0</v>
      </c>
      <c r="Y286" s="80">
        <f t="shared" si="553"/>
        <v>0</v>
      </c>
      <c r="Z286" s="80">
        <f t="shared" si="535"/>
        <v>0</v>
      </c>
      <c r="AA286" s="81">
        <f t="shared" si="554"/>
        <v>0</v>
      </c>
      <c r="AB286" s="81">
        <f t="shared" si="536"/>
        <v>0</v>
      </c>
      <c r="AC286" s="81">
        <v>0</v>
      </c>
      <c r="AD286" s="81">
        <f t="shared" si="555"/>
        <v>0</v>
      </c>
      <c r="AE286" s="81">
        <v>0</v>
      </c>
      <c r="AF286" s="81">
        <f t="shared" si="556"/>
        <v>0</v>
      </c>
      <c r="AG286" s="81">
        <f t="shared" si="557"/>
        <v>0</v>
      </c>
      <c r="AH286" s="81">
        <f t="shared" si="537"/>
        <v>0</v>
      </c>
      <c r="AI286" s="82">
        <f t="shared" si="558"/>
        <v>0</v>
      </c>
      <c r="AJ286" s="82">
        <f t="shared" si="538"/>
        <v>0</v>
      </c>
      <c r="AK286" s="82">
        <v>0</v>
      </c>
      <c r="AL286" s="82">
        <f t="shared" si="559"/>
        <v>0</v>
      </c>
      <c r="AM286" s="82">
        <v>0</v>
      </c>
      <c r="AN286" s="82">
        <f t="shared" si="560"/>
        <v>0</v>
      </c>
      <c r="AO286" s="82">
        <f t="shared" si="561"/>
        <v>0</v>
      </c>
      <c r="AP286" s="82">
        <f t="shared" si="539"/>
        <v>0</v>
      </c>
      <c r="AQ286" s="83">
        <f t="shared" si="562"/>
        <v>0</v>
      </c>
      <c r="AR286" s="83">
        <f t="shared" si="540"/>
        <v>0</v>
      </c>
      <c r="AS286" s="83">
        <v>0</v>
      </c>
      <c r="AT286" s="83">
        <f t="shared" si="563"/>
        <v>0</v>
      </c>
      <c r="AU286" s="83">
        <v>0</v>
      </c>
      <c r="AV286" s="83">
        <f t="shared" si="564"/>
        <v>0</v>
      </c>
      <c r="AW286" s="83">
        <f t="shared" si="565"/>
        <v>0</v>
      </c>
      <c r="AX286" s="83">
        <f t="shared" si="541"/>
        <v>0</v>
      </c>
    </row>
    <row r="287" spans="2:50" x14ac:dyDescent="0.35">
      <c r="B287" s="7" t="s">
        <v>147</v>
      </c>
      <c r="C287" s="78">
        <v>0</v>
      </c>
      <c r="D287" s="78">
        <f t="shared" si="542"/>
        <v>0</v>
      </c>
      <c r="E287" s="78">
        <v>0</v>
      </c>
      <c r="F287" s="78">
        <f t="shared" si="543"/>
        <v>0</v>
      </c>
      <c r="G287" s="78">
        <v>0</v>
      </c>
      <c r="H287" s="78">
        <f t="shared" si="544"/>
        <v>0</v>
      </c>
      <c r="I287" s="78">
        <f t="shared" si="545"/>
        <v>0</v>
      </c>
      <c r="J287" s="78">
        <f t="shared" si="531"/>
        <v>0</v>
      </c>
      <c r="K287" s="79">
        <f t="shared" si="546"/>
        <v>0</v>
      </c>
      <c r="L287" s="79">
        <f t="shared" si="532"/>
        <v>0</v>
      </c>
      <c r="M287" s="79">
        <v>0</v>
      </c>
      <c r="N287" s="79">
        <f t="shared" si="547"/>
        <v>0</v>
      </c>
      <c r="O287" s="79">
        <v>0</v>
      </c>
      <c r="P287" s="79">
        <f t="shared" si="548"/>
        <v>0</v>
      </c>
      <c r="Q287" s="79">
        <f t="shared" si="549"/>
        <v>0</v>
      </c>
      <c r="R287" s="79">
        <f t="shared" si="533"/>
        <v>0</v>
      </c>
      <c r="S287" s="80">
        <f t="shared" si="550"/>
        <v>0</v>
      </c>
      <c r="T287" s="80">
        <f t="shared" si="534"/>
        <v>0</v>
      </c>
      <c r="U287" s="80">
        <v>0</v>
      </c>
      <c r="V287" s="80">
        <f t="shared" si="551"/>
        <v>0</v>
      </c>
      <c r="W287" s="80">
        <v>0</v>
      </c>
      <c r="X287" s="80">
        <f t="shared" si="552"/>
        <v>0</v>
      </c>
      <c r="Y287" s="80">
        <f t="shared" si="553"/>
        <v>0</v>
      </c>
      <c r="Z287" s="80">
        <f t="shared" si="535"/>
        <v>0</v>
      </c>
      <c r="AA287" s="81">
        <f t="shared" si="554"/>
        <v>0</v>
      </c>
      <c r="AB287" s="81">
        <f t="shared" si="536"/>
        <v>0</v>
      </c>
      <c r="AC287" s="81">
        <v>0</v>
      </c>
      <c r="AD287" s="81">
        <f t="shared" si="555"/>
        <v>0</v>
      </c>
      <c r="AE287" s="81">
        <v>0</v>
      </c>
      <c r="AF287" s="81">
        <f t="shared" si="556"/>
        <v>0</v>
      </c>
      <c r="AG287" s="81">
        <f t="shared" si="557"/>
        <v>0</v>
      </c>
      <c r="AH287" s="81">
        <f t="shared" si="537"/>
        <v>0</v>
      </c>
      <c r="AI287" s="82">
        <f t="shared" si="558"/>
        <v>0</v>
      </c>
      <c r="AJ287" s="82">
        <f t="shared" si="538"/>
        <v>0</v>
      </c>
      <c r="AK287" s="82">
        <v>0</v>
      </c>
      <c r="AL287" s="82">
        <f t="shared" si="559"/>
        <v>0</v>
      </c>
      <c r="AM287" s="82">
        <v>0</v>
      </c>
      <c r="AN287" s="82">
        <f t="shared" si="560"/>
        <v>0</v>
      </c>
      <c r="AO287" s="82">
        <f t="shared" si="561"/>
        <v>0</v>
      </c>
      <c r="AP287" s="82">
        <f t="shared" si="539"/>
        <v>0</v>
      </c>
      <c r="AQ287" s="83">
        <f t="shared" si="562"/>
        <v>0</v>
      </c>
      <c r="AR287" s="83">
        <f t="shared" si="540"/>
        <v>0</v>
      </c>
      <c r="AS287" s="83">
        <v>0</v>
      </c>
      <c r="AT287" s="83">
        <f t="shared" si="563"/>
        <v>0</v>
      </c>
      <c r="AU287" s="83">
        <v>0</v>
      </c>
      <c r="AV287" s="83">
        <f t="shared" si="564"/>
        <v>0</v>
      </c>
      <c r="AW287" s="83">
        <f t="shared" si="565"/>
        <v>0</v>
      </c>
      <c r="AX287" s="83">
        <f t="shared" si="541"/>
        <v>0</v>
      </c>
    </row>
    <row r="288" spans="2:50" x14ac:dyDescent="0.35">
      <c r="B288" s="7" t="s">
        <v>148</v>
      </c>
      <c r="C288" s="78">
        <v>86.417194532576957</v>
      </c>
      <c r="D288" s="78">
        <f t="shared" si="542"/>
        <v>86.417194532576957</v>
      </c>
      <c r="E288" s="78">
        <v>0</v>
      </c>
      <c r="F288" s="78">
        <f t="shared" si="543"/>
        <v>0</v>
      </c>
      <c r="G288" s="78">
        <v>0</v>
      </c>
      <c r="H288" s="78">
        <f t="shared" si="544"/>
        <v>0</v>
      </c>
      <c r="I288" s="78">
        <f t="shared" si="545"/>
        <v>86.417194532576957</v>
      </c>
      <c r="J288" s="78">
        <f t="shared" si="531"/>
        <v>86.417194532576957</v>
      </c>
      <c r="K288" s="79">
        <f t="shared" si="546"/>
        <v>86.417194532576957</v>
      </c>
      <c r="L288" s="79">
        <f t="shared" si="532"/>
        <v>86.417194532576957</v>
      </c>
      <c r="M288" s="79">
        <v>0</v>
      </c>
      <c r="N288" s="79">
        <f t="shared" si="547"/>
        <v>0</v>
      </c>
      <c r="O288" s="79">
        <v>0</v>
      </c>
      <c r="P288" s="79">
        <f t="shared" si="548"/>
        <v>0</v>
      </c>
      <c r="Q288" s="79">
        <f t="shared" si="549"/>
        <v>86.417194532576957</v>
      </c>
      <c r="R288" s="79">
        <f t="shared" si="533"/>
        <v>86.417194532576957</v>
      </c>
      <c r="S288" s="80">
        <f t="shared" si="550"/>
        <v>86.417194532576957</v>
      </c>
      <c r="T288" s="80">
        <f t="shared" si="534"/>
        <v>86.417194532576957</v>
      </c>
      <c r="U288" s="80">
        <v>0</v>
      </c>
      <c r="V288" s="80">
        <f t="shared" si="551"/>
        <v>0</v>
      </c>
      <c r="W288" s="80">
        <v>0</v>
      </c>
      <c r="X288" s="80">
        <f t="shared" si="552"/>
        <v>0</v>
      </c>
      <c r="Y288" s="80">
        <f t="shared" si="553"/>
        <v>86.417194532576957</v>
      </c>
      <c r="Z288" s="80">
        <f t="shared" si="535"/>
        <v>86.417194532576957</v>
      </c>
      <c r="AA288" s="81">
        <f t="shared" si="554"/>
        <v>86.417194532576957</v>
      </c>
      <c r="AB288" s="81">
        <f t="shared" si="536"/>
        <v>86.417194532576957</v>
      </c>
      <c r="AC288" s="81">
        <v>0</v>
      </c>
      <c r="AD288" s="81">
        <f t="shared" si="555"/>
        <v>0</v>
      </c>
      <c r="AE288" s="81">
        <v>0</v>
      </c>
      <c r="AF288" s="81">
        <f t="shared" si="556"/>
        <v>0</v>
      </c>
      <c r="AG288" s="81">
        <f t="shared" si="557"/>
        <v>86.417194532576957</v>
      </c>
      <c r="AH288" s="81">
        <f t="shared" si="537"/>
        <v>86.417194532576957</v>
      </c>
      <c r="AI288" s="82">
        <f t="shared" si="558"/>
        <v>86.417194532576957</v>
      </c>
      <c r="AJ288" s="82">
        <f t="shared" si="538"/>
        <v>86.417194532576957</v>
      </c>
      <c r="AK288" s="82">
        <v>0</v>
      </c>
      <c r="AL288" s="82">
        <f t="shared" si="559"/>
        <v>0</v>
      </c>
      <c r="AM288" s="82">
        <v>0</v>
      </c>
      <c r="AN288" s="82">
        <f t="shared" si="560"/>
        <v>0</v>
      </c>
      <c r="AO288" s="82">
        <f t="shared" si="561"/>
        <v>86.417194532576957</v>
      </c>
      <c r="AP288" s="82">
        <f t="shared" si="539"/>
        <v>86.417194532576957</v>
      </c>
      <c r="AQ288" s="83">
        <f t="shared" si="562"/>
        <v>86.417194532576957</v>
      </c>
      <c r="AR288" s="83">
        <f t="shared" si="540"/>
        <v>86.417194532576957</v>
      </c>
      <c r="AS288" s="83">
        <v>0</v>
      </c>
      <c r="AT288" s="83">
        <f t="shared" si="563"/>
        <v>0</v>
      </c>
      <c r="AU288" s="83">
        <v>0</v>
      </c>
      <c r="AV288" s="83">
        <f t="shared" si="564"/>
        <v>0</v>
      </c>
      <c r="AW288" s="83">
        <f t="shared" si="565"/>
        <v>86.417194532576957</v>
      </c>
      <c r="AX288" s="83">
        <f t="shared" si="541"/>
        <v>86.417194532576957</v>
      </c>
    </row>
    <row r="289" spans="2:50" ht="31" x14ac:dyDescent="0.35">
      <c r="B289" s="84" t="s">
        <v>149</v>
      </c>
      <c r="C289" s="78">
        <v>0</v>
      </c>
      <c r="D289" s="78">
        <f t="shared" si="542"/>
        <v>0</v>
      </c>
      <c r="E289" s="78">
        <v>0</v>
      </c>
      <c r="F289" s="78">
        <f t="shared" si="543"/>
        <v>0</v>
      </c>
      <c r="G289" s="78">
        <v>0</v>
      </c>
      <c r="H289" s="78">
        <f t="shared" si="544"/>
        <v>0</v>
      </c>
      <c r="I289" s="78">
        <f t="shared" si="545"/>
        <v>0</v>
      </c>
      <c r="J289" s="78">
        <f t="shared" si="531"/>
        <v>0</v>
      </c>
      <c r="K289" s="79">
        <f t="shared" si="546"/>
        <v>0</v>
      </c>
      <c r="L289" s="79">
        <f t="shared" si="532"/>
        <v>0</v>
      </c>
      <c r="M289" s="79">
        <v>0</v>
      </c>
      <c r="N289" s="79">
        <f t="shared" si="547"/>
        <v>0</v>
      </c>
      <c r="O289" s="79">
        <v>0</v>
      </c>
      <c r="P289" s="79">
        <f t="shared" si="548"/>
        <v>0</v>
      </c>
      <c r="Q289" s="79">
        <f t="shared" si="549"/>
        <v>0</v>
      </c>
      <c r="R289" s="79">
        <f t="shared" si="533"/>
        <v>0</v>
      </c>
      <c r="S289" s="80">
        <f t="shared" si="550"/>
        <v>0</v>
      </c>
      <c r="T289" s="80">
        <f t="shared" si="534"/>
        <v>0</v>
      </c>
      <c r="U289" s="80">
        <v>0</v>
      </c>
      <c r="V289" s="80">
        <f t="shared" si="551"/>
        <v>0</v>
      </c>
      <c r="W289" s="80">
        <v>0</v>
      </c>
      <c r="X289" s="80">
        <f t="shared" si="552"/>
        <v>0</v>
      </c>
      <c r="Y289" s="80">
        <f t="shared" si="553"/>
        <v>0</v>
      </c>
      <c r="Z289" s="80">
        <f t="shared" si="535"/>
        <v>0</v>
      </c>
      <c r="AA289" s="81">
        <f t="shared" si="554"/>
        <v>0</v>
      </c>
      <c r="AB289" s="81">
        <f t="shared" si="536"/>
        <v>0</v>
      </c>
      <c r="AC289" s="81">
        <v>0</v>
      </c>
      <c r="AD289" s="81">
        <f t="shared" si="555"/>
        <v>0</v>
      </c>
      <c r="AE289" s="81">
        <v>0</v>
      </c>
      <c r="AF289" s="81">
        <f t="shared" si="556"/>
        <v>0</v>
      </c>
      <c r="AG289" s="81">
        <f t="shared" si="557"/>
        <v>0</v>
      </c>
      <c r="AH289" s="81">
        <f t="shared" si="537"/>
        <v>0</v>
      </c>
      <c r="AI289" s="82">
        <f t="shared" si="558"/>
        <v>0</v>
      </c>
      <c r="AJ289" s="82">
        <f t="shared" si="538"/>
        <v>0</v>
      </c>
      <c r="AK289" s="82">
        <v>0</v>
      </c>
      <c r="AL289" s="82">
        <f t="shared" si="559"/>
        <v>0</v>
      </c>
      <c r="AM289" s="82">
        <v>0</v>
      </c>
      <c r="AN289" s="82">
        <f t="shared" si="560"/>
        <v>0</v>
      </c>
      <c r="AO289" s="82">
        <f t="shared" si="561"/>
        <v>0</v>
      </c>
      <c r="AP289" s="82">
        <f t="shared" si="539"/>
        <v>0</v>
      </c>
      <c r="AQ289" s="83">
        <f t="shared" si="562"/>
        <v>0</v>
      </c>
      <c r="AR289" s="83">
        <f t="shared" si="540"/>
        <v>0</v>
      </c>
      <c r="AS289" s="83">
        <v>0</v>
      </c>
      <c r="AT289" s="83">
        <f t="shared" si="563"/>
        <v>0</v>
      </c>
      <c r="AU289" s="83">
        <v>0</v>
      </c>
      <c r="AV289" s="83">
        <f t="shared" si="564"/>
        <v>0</v>
      </c>
      <c r="AW289" s="83">
        <f t="shared" si="565"/>
        <v>0</v>
      </c>
      <c r="AX289" s="83">
        <f t="shared" si="541"/>
        <v>0</v>
      </c>
    </row>
    <row r="290" spans="2:50" x14ac:dyDescent="0.35">
      <c r="B290" s="12" t="s">
        <v>27</v>
      </c>
      <c r="C290" s="85">
        <f>SUM(C273:C289)</f>
        <v>261.00150587050007</v>
      </c>
      <c r="D290" s="85">
        <f t="shared" ref="D290:E290" si="566">SUM(D273:D289)</f>
        <v>261.00150587050007</v>
      </c>
      <c r="E290" s="85">
        <f t="shared" si="566"/>
        <v>12.746106295000001</v>
      </c>
      <c r="F290" s="85">
        <v>12.734306200000001</v>
      </c>
      <c r="G290" s="85">
        <f t="shared" ref="G290" si="567">SUM(G273:G289)</f>
        <v>0.42757289999999998</v>
      </c>
      <c r="H290" s="85">
        <f t="shared" ref="H290:M290" si="568">SUM(H273:H289)</f>
        <v>0.42757289999999998</v>
      </c>
      <c r="I290" s="85">
        <f t="shared" si="568"/>
        <v>273.32003926550004</v>
      </c>
      <c r="J290" s="85">
        <f t="shared" si="568"/>
        <v>273.30823917050003</v>
      </c>
      <c r="K290" s="86">
        <f t="shared" si="568"/>
        <v>273.32003926550004</v>
      </c>
      <c r="L290" s="86">
        <f t="shared" si="568"/>
        <v>273.30823917050003</v>
      </c>
      <c r="M290" s="86">
        <f t="shared" si="568"/>
        <v>14.358300386000002</v>
      </c>
      <c r="N290" s="86">
        <v>14.328528090999997</v>
      </c>
      <c r="O290" s="86">
        <f t="shared" ref="O290" si="569">SUM(O273:O289)</f>
        <v>0</v>
      </c>
      <c r="P290" s="86">
        <f t="shared" ref="P290:U290" si="570">SUM(P273:P289)</f>
        <v>0</v>
      </c>
      <c r="Q290" s="86">
        <f t="shared" si="570"/>
        <v>287.67833965150004</v>
      </c>
      <c r="R290" s="86">
        <f t="shared" si="570"/>
        <v>287.63676726150004</v>
      </c>
      <c r="S290" s="87">
        <f t="shared" si="570"/>
        <v>287.67833965150004</v>
      </c>
      <c r="T290" s="87">
        <f t="shared" si="570"/>
        <v>287.63676726150004</v>
      </c>
      <c r="U290" s="87">
        <f t="shared" si="570"/>
        <v>8.4663173919999988</v>
      </c>
      <c r="V290" s="87">
        <v>8.4580924</v>
      </c>
      <c r="W290" s="87">
        <f t="shared" ref="W290" si="571">SUM(W273:W289)</f>
        <v>7.73398E-2</v>
      </c>
      <c r="X290" s="87">
        <f t="shared" ref="X290:AC290" si="572">SUM(X273:X289)</f>
        <v>7.73398E-2</v>
      </c>
      <c r="Y290" s="87">
        <f t="shared" si="572"/>
        <v>296.06731724350004</v>
      </c>
      <c r="Z290" s="87">
        <f t="shared" si="572"/>
        <v>296.01751986150003</v>
      </c>
      <c r="AA290" s="88">
        <f t="shared" si="572"/>
        <v>296.06731724350004</v>
      </c>
      <c r="AB290" s="88">
        <f t="shared" si="572"/>
        <v>296.01751986150003</v>
      </c>
      <c r="AC290" s="88">
        <f t="shared" si="572"/>
        <v>66.72</v>
      </c>
      <c r="AD290" s="88">
        <v>54.653169999999996</v>
      </c>
      <c r="AE290" s="88">
        <f t="shared" ref="AE290" si="573">SUM(AE273:AE289)</f>
        <v>0</v>
      </c>
      <c r="AF290" s="88">
        <f t="shared" ref="AF290:AK290" si="574">SUM(AF273:AF289)</f>
        <v>0</v>
      </c>
      <c r="AG290" s="88">
        <f t="shared" si="574"/>
        <v>362.78731724350007</v>
      </c>
      <c r="AH290" s="88">
        <f t="shared" si="574"/>
        <v>350.67068986150002</v>
      </c>
      <c r="AI290" s="89">
        <f t="shared" si="574"/>
        <v>362.78731724350007</v>
      </c>
      <c r="AJ290" s="89">
        <f t="shared" si="574"/>
        <v>350.67068986150002</v>
      </c>
      <c r="AK290" s="89">
        <f t="shared" si="574"/>
        <v>99.94</v>
      </c>
      <c r="AL290" s="89">
        <v>61.46</v>
      </c>
      <c r="AM290" s="89">
        <f t="shared" ref="AM290" si="575">SUM(AM273:AM289)</f>
        <v>0</v>
      </c>
      <c r="AN290" s="89">
        <f t="shared" ref="AN290:AS290" si="576">SUM(AN273:AN289)</f>
        <v>0</v>
      </c>
      <c r="AO290" s="89">
        <f t="shared" si="576"/>
        <v>462.72731724350001</v>
      </c>
      <c r="AP290" s="89">
        <f t="shared" si="576"/>
        <v>412.1306898615</v>
      </c>
      <c r="AQ290" s="90">
        <f t="shared" si="576"/>
        <v>462.72731724350001</v>
      </c>
      <c r="AR290" s="90">
        <f t="shared" si="576"/>
        <v>412.1306898615</v>
      </c>
      <c r="AS290" s="90">
        <f t="shared" si="576"/>
        <v>144.15</v>
      </c>
      <c r="AT290" s="90">
        <v>61.719999999999992</v>
      </c>
      <c r="AU290" s="90">
        <f t="shared" ref="AU290" si="577">SUM(AU273:AU289)</f>
        <v>0</v>
      </c>
      <c r="AV290" s="90">
        <f t="shared" ref="AV290:AX290" si="578">SUM(AV273:AV289)</f>
        <v>0</v>
      </c>
      <c r="AW290" s="90">
        <f t="shared" si="578"/>
        <v>606.8773172435001</v>
      </c>
      <c r="AX290" s="90">
        <f t="shared" si="578"/>
        <v>473.85068986150003</v>
      </c>
    </row>
    <row r="291" spans="2:50" s="77" customFormat="1" x14ac:dyDescent="0.35">
      <c r="B291" s="70" t="s">
        <v>162</v>
      </c>
      <c r="C291" s="71"/>
      <c r="D291" s="71"/>
      <c r="E291" s="71"/>
      <c r="F291" s="71"/>
      <c r="G291" s="71"/>
      <c r="H291" s="71"/>
      <c r="I291" s="71"/>
      <c r="J291" s="71"/>
      <c r="K291" s="72"/>
      <c r="L291" s="72"/>
      <c r="M291" s="72"/>
      <c r="N291" s="72"/>
      <c r="O291" s="72"/>
      <c r="P291" s="72"/>
      <c r="Q291" s="72"/>
      <c r="R291" s="72"/>
      <c r="S291" s="73"/>
      <c r="T291" s="73"/>
      <c r="U291" s="73"/>
      <c r="V291" s="73"/>
      <c r="W291" s="73"/>
      <c r="X291" s="73"/>
      <c r="Y291" s="73"/>
      <c r="Z291" s="73"/>
      <c r="AA291" s="74"/>
      <c r="AB291" s="74"/>
      <c r="AC291" s="74"/>
      <c r="AD291" s="74"/>
      <c r="AE291" s="74"/>
      <c r="AF291" s="74"/>
      <c r="AG291" s="74"/>
      <c r="AH291" s="74"/>
      <c r="AI291" s="75"/>
      <c r="AJ291" s="75"/>
      <c r="AK291" s="75"/>
      <c r="AL291" s="75"/>
      <c r="AM291" s="75"/>
      <c r="AN291" s="75"/>
      <c r="AO291" s="75"/>
      <c r="AP291" s="75"/>
      <c r="AQ291" s="76"/>
      <c r="AR291" s="76"/>
      <c r="AS291" s="76"/>
      <c r="AT291" s="76"/>
      <c r="AU291" s="76"/>
      <c r="AV291" s="76"/>
      <c r="AW291" s="76"/>
      <c r="AX291" s="76"/>
    </row>
    <row r="292" spans="2:50" x14ac:dyDescent="0.35">
      <c r="B292" s="7" t="s">
        <v>133</v>
      </c>
      <c r="C292" s="78">
        <f>C7+C26+C45+C64+C83+C102+C121+C140+C159+C178+C197+C216+C235+C254+C273</f>
        <v>216.25766374587468</v>
      </c>
      <c r="D292" s="78">
        <f t="shared" ref="D292:G292" si="579">D7+D26+D45+D64+D83+D102+D121+D140+D159+D178+D197+D216+D235+D254+D273</f>
        <v>216.25766374587468</v>
      </c>
      <c r="E292" s="78">
        <f t="shared" si="579"/>
        <v>2.4904105000000003</v>
      </c>
      <c r="F292" s="78">
        <f t="shared" si="579"/>
        <v>2.3356577881172136</v>
      </c>
      <c r="G292" s="78">
        <f t="shared" si="579"/>
        <v>0</v>
      </c>
      <c r="H292" s="78">
        <f>G292</f>
        <v>0</v>
      </c>
      <c r="I292" s="78">
        <f>C292+E292-G292</f>
        <v>218.74807424587468</v>
      </c>
      <c r="J292" s="78">
        <f t="shared" ref="J292:J308" si="580">D292+F292-H292</f>
        <v>218.59332153399188</v>
      </c>
      <c r="K292" s="79">
        <f>I292</f>
        <v>218.74807424587468</v>
      </c>
      <c r="L292" s="79">
        <f t="shared" ref="L292:L308" si="581">J292</f>
        <v>218.59332153399188</v>
      </c>
      <c r="M292" s="79">
        <f t="shared" ref="M292:O307" si="582">M7+M26+M45+M64+M83+M102+M121+M140+M159+M178+M197+M216+M235+M254+M273</f>
        <v>2.0361513090000001</v>
      </c>
      <c r="N292" s="79">
        <f t="shared" si="582"/>
        <v>1.7463279323823619</v>
      </c>
      <c r="O292" s="79">
        <f t="shared" si="582"/>
        <v>0</v>
      </c>
      <c r="P292" s="79">
        <f>O292</f>
        <v>0</v>
      </c>
      <c r="Q292" s="79">
        <f>K292+M292-O292</f>
        <v>220.78422555487467</v>
      </c>
      <c r="R292" s="79">
        <f t="shared" ref="R292:R308" si="583">L292+N292-P292</f>
        <v>220.33964946637425</v>
      </c>
      <c r="S292" s="80">
        <f>Q292</f>
        <v>220.78422555487467</v>
      </c>
      <c r="T292" s="80">
        <f t="shared" ref="T292:T308" si="584">R292</f>
        <v>220.33964946637425</v>
      </c>
      <c r="U292" s="80">
        <f t="shared" ref="U292:W307" si="585">U7+U26+U45+U64+U83+U102+U121+U140+U159+U178+U197+U216+U235+U254+U273</f>
        <v>16.253836</v>
      </c>
      <c r="V292" s="80">
        <f t="shared" si="585"/>
        <v>15.02937742837724</v>
      </c>
      <c r="W292" s="80">
        <f t="shared" si="585"/>
        <v>0</v>
      </c>
      <c r="X292" s="80">
        <f>W292</f>
        <v>0</v>
      </c>
      <c r="Y292" s="80">
        <f>S292+U292-W292</f>
        <v>237.03806155487467</v>
      </c>
      <c r="Z292" s="80">
        <f t="shared" ref="Z292:Z308" si="586">T292+V292-X292</f>
        <v>235.3690268947515</v>
      </c>
      <c r="AA292" s="81">
        <f>Y292</f>
        <v>237.03806155487467</v>
      </c>
      <c r="AB292" s="81">
        <f t="shared" ref="AB292:AB308" si="587">Z292</f>
        <v>235.3690268947515</v>
      </c>
      <c r="AC292" s="81">
        <f t="shared" ref="AC292:AE307" si="588">AC7+AC26+AC45+AC64+AC83+AC102+AC121+AC140+AC159+AC178+AC197+AC216+AC235+AC254+AC273</f>
        <v>0</v>
      </c>
      <c r="AD292" s="81">
        <f t="shared" si="588"/>
        <v>0</v>
      </c>
      <c r="AE292" s="81">
        <f t="shared" si="588"/>
        <v>0</v>
      </c>
      <c r="AF292" s="81">
        <f>AE292</f>
        <v>0</v>
      </c>
      <c r="AG292" s="81">
        <f>AA292+AC292-AE292</f>
        <v>237.03806155487467</v>
      </c>
      <c r="AH292" s="81">
        <f t="shared" ref="AH292:AH308" si="589">AB292+AD292-AF292</f>
        <v>235.3690268947515</v>
      </c>
      <c r="AI292" s="82">
        <f>AG292</f>
        <v>237.03806155487467</v>
      </c>
      <c r="AJ292" s="82">
        <f t="shared" ref="AJ292:AJ308" si="590">AH292</f>
        <v>235.3690268947515</v>
      </c>
      <c r="AK292" s="82">
        <f t="shared" ref="AK292:AM307" si="591">AK7+AK26+AK45+AK64+AK83+AK102+AK121+AK140+AK159+AK178+AK197+AK216+AK235+AK254+AK273</f>
        <v>0</v>
      </c>
      <c r="AL292" s="82">
        <f t="shared" si="591"/>
        <v>0</v>
      </c>
      <c r="AM292" s="82">
        <f t="shared" si="591"/>
        <v>0</v>
      </c>
      <c r="AN292" s="82">
        <f>AM292</f>
        <v>0</v>
      </c>
      <c r="AO292" s="82">
        <f>AI292+AK292-AM292</f>
        <v>237.03806155487467</v>
      </c>
      <c r="AP292" s="82">
        <f t="shared" ref="AP292:AP308" si="592">AJ292+AL292-AN292</f>
        <v>235.3690268947515</v>
      </c>
      <c r="AQ292" s="83">
        <f>AO292</f>
        <v>237.03806155487467</v>
      </c>
      <c r="AR292" s="83">
        <f t="shared" ref="AR292:AR308" si="593">AP292</f>
        <v>235.3690268947515</v>
      </c>
      <c r="AS292" s="83">
        <f t="shared" ref="AS292:AU307" si="594">AS7+AS26+AS45+AS64+AS83+AS102+AS121+AS140+AS159+AS178+AS197+AS216+AS235+AS254+AS273</f>
        <v>0</v>
      </c>
      <c r="AT292" s="83">
        <f t="shared" si="594"/>
        <v>0</v>
      </c>
      <c r="AU292" s="83">
        <f t="shared" si="594"/>
        <v>0</v>
      </c>
      <c r="AV292" s="83">
        <f>AU292</f>
        <v>0</v>
      </c>
      <c r="AW292" s="83">
        <f>AQ292+AS292-AU292</f>
        <v>237.03806155487467</v>
      </c>
      <c r="AX292" s="83">
        <f t="shared" ref="AX292:AX308" si="595">AR292+AT292-AV292</f>
        <v>235.3690268947515</v>
      </c>
    </row>
    <row r="293" spans="2:50" x14ac:dyDescent="0.35">
      <c r="B293" s="7" t="s">
        <v>134</v>
      </c>
      <c r="C293" s="78">
        <f t="shared" ref="C293:G308" si="596">C8+C27+C46+C65+C84+C103+C122+C141+C160+C179+C198+C217+C236+C255+C274</f>
        <v>1825.2929778217656</v>
      </c>
      <c r="D293" s="78">
        <f t="shared" si="596"/>
        <v>1825.2929778217656</v>
      </c>
      <c r="E293" s="78">
        <f t="shared" si="596"/>
        <v>21.789596977999999</v>
      </c>
      <c r="F293" s="78">
        <f t="shared" si="596"/>
        <v>21.771873167383568</v>
      </c>
      <c r="G293" s="78">
        <f t="shared" si="596"/>
        <v>5.7629600000000003E-2</v>
      </c>
      <c r="H293" s="78">
        <f t="shared" ref="H293:H308" si="597">G293</f>
        <v>5.7629600000000003E-2</v>
      </c>
      <c r="I293" s="78">
        <f t="shared" ref="I293:I308" si="598">C293+E293-G293</f>
        <v>1847.0249451997656</v>
      </c>
      <c r="J293" s="78">
        <f t="shared" si="580"/>
        <v>1847.0072213891492</v>
      </c>
      <c r="K293" s="79">
        <f t="shared" ref="K293:K308" si="599">I293</f>
        <v>1847.0249451997656</v>
      </c>
      <c r="L293" s="79">
        <f t="shared" si="581"/>
        <v>1847.0072213891492</v>
      </c>
      <c r="M293" s="79">
        <f t="shared" si="582"/>
        <v>59.871154940999993</v>
      </c>
      <c r="N293" s="79">
        <f t="shared" si="582"/>
        <v>59.770492563818443</v>
      </c>
      <c r="O293" s="79">
        <f t="shared" si="582"/>
        <v>0</v>
      </c>
      <c r="P293" s="79">
        <f t="shared" ref="P293:P308" si="600">O293</f>
        <v>0</v>
      </c>
      <c r="Q293" s="79">
        <f t="shared" ref="Q293:Q308" si="601">K293+M293-O293</f>
        <v>1906.8961001407656</v>
      </c>
      <c r="R293" s="79">
        <f t="shared" si="583"/>
        <v>1906.7777139529676</v>
      </c>
      <c r="S293" s="80">
        <f t="shared" ref="S293:S308" si="602">Q293</f>
        <v>1906.8961001407656</v>
      </c>
      <c r="T293" s="80">
        <f t="shared" si="584"/>
        <v>1906.7777139529676</v>
      </c>
      <c r="U293" s="80">
        <f t="shared" si="585"/>
        <v>53.440453335000001</v>
      </c>
      <c r="V293" s="80">
        <f t="shared" si="585"/>
        <v>49.653494076757923</v>
      </c>
      <c r="W293" s="80">
        <f t="shared" si="585"/>
        <v>0.40948123300000006</v>
      </c>
      <c r="X293" s="80">
        <f t="shared" ref="X293:X308" si="603">W293</f>
        <v>0.40948123300000006</v>
      </c>
      <c r="Y293" s="80">
        <f t="shared" ref="Y293:Y308" si="604">S293+U293-W293</f>
        <v>1959.9270722427657</v>
      </c>
      <c r="Z293" s="80">
        <f t="shared" si="586"/>
        <v>1956.0217267967255</v>
      </c>
      <c r="AA293" s="81">
        <f t="shared" ref="AA293:AA308" si="605">Y293</f>
        <v>1959.9270722427657</v>
      </c>
      <c r="AB293" s="81">
        <f t="shared" si="587"/>
        <v>1956.0217267967255</v>
      </c>
      <c r="AC293" s="81">
        <f t="shared" si="588"/>
        <v>0</v>
      </c>
      <c r="AD293" s="81">
        <f t="shared" si="588"/>
        <v>0</v>
      </c>
      <c r="AE293" s="81">
        <f t="shared" si="588"/>
        <v>0</v>
      </c>
      <c r="AF293" s="81">
        <f t="shared" ref="AF293:AF308" si="606">AE293</f>
        <v>0</v>
      </c>
      <c r="AG293" s="81">
        <f t="shared" ref="AG293:AG308" si="607">AA293+AC293-AE293</f>
        <v>1959.9270722427657</v>
      </c>
      <c r="AH293" s="81">
        <f t="shared" si="589"/>
        <v>1956.0217267967255</v>
      </c>
      <c r="AI293" s="82">
        <f t="shared" ref="AI293:AI308" si="608">AG293</f>
        <v>1959.9270722427657</v>
      </c>
      <c r="AJ293" s="82">
        <f t="shared" si="590"/>
        <v>1956.0217267967255</v>
      </c>
      <c r="AK293" s="82">
        <f t="shared" si="591"/>
        <v>0</v>
      </c>
      <c r="AL293" s="82">
        <f t="shared" si="591"/>
        <v>0</v>
      </c>
      <c r="AM293" s="82">
        <f t="shared" si="591"/>
        <v>0</v>
      </c>
      <c r="AN293" s="82">
        <f t="shared" ref="AN293:AN308" si="609">AM293</f>
        <v>0</v>
      </c>
      <c r="AO293" s="82">
        <f t="shared" ref="AO293:AO308" si="610">AI293+AK293-AM293</f>
        <v>1959.9270722427657</v>
      </c>
      <c r="AP293" s="82">
        <f t="shared" si="592"/>
        <v>1956.0217267967255</v>
      </c>
      <c r="AQ293" s="83">
        <f t="shared" ref="AQ293:AQ308" si="611">AO293</f>
        <v>1959.9270722427657</v>
      </c>
      <c r="AR293" s="83">
        <f t="shared" si="593"/>
        <v>1956.0217267967255</v>
      </c>
      <c r="AS293" s="83">
        <f t="shared" si="594"/>
        <v>0</v>
      </c>
      <c r="AT293" s="83">
        <f t="shared" si="594"/>
        <v>0</v>
      </c>
      <c r="AU293" s="83">
        <f t="shared" si="594"/>
        <v>0</v>
      </c>
      <c r="AV293" s="83">
        <f t="shared" ref="AV293:AV308" si="612">AU293</f>
        <v>0</v>
      </c>
      <c r="AW293" s="83">
        <f t="shared" ref="AW293:AW308" si="613">AQ293+AS293-AU293</f>
        <v>1959.9270722427657</v>
      </c>
      <c r="AX293" s="83">
        <f t="shared" si="595"/>
        <v>1956.0217267967255</v>
      </c>
    </row>
    <row r="294" spans="2:50" ht="31" x14ac:dyDescent="0.35">
      <c r="B294" s="84" t="s">
        <v>135</v>
      </c>
      <c r="C294" s="78">
        <f t="shared" si="596"/>
        <v>380.68668513908329</v>
      </c>
      <c r="D294" s="78">
        <f t="shared" si="596"/>
        <v>380.68668513908329</v>
      </c>
      <c r="E294" s="78">
        <f t="shared" si="596"/>
        <v>0</v>
      </c>
      <c r="F294" s="78">
        <f t="shared" si="596"/>
        <v>0</v>
      </c>
      <c r="G294" s="78">
        <f t="shared" si="596"/>
        <v>0</v>
      </c>
      <c r="H294" s="78">
        <f t="shared" si="597"/>
        <v>0</v>
      </c>
      <c r="I294" s="78">
        <f t="shared" si="598"/>
        <v>380.68668513908329</v>
      </c>
      <c r="J294" s="78">
        <f t="shared" si="580"/>
        <v>380.68668513908329</v>
      </c>
      <c r="K294" s="79">
        <f t="shared" si="599"/>
        <v>380.68668513908329</v>
      </c>
      <c r="L294" s="79">
        <f t="shared" si="581"/>
        <v>380.68668513908329</v>
      </c>
      <c r="M294" s="79">
        <f t="shared" si="582"/>
        <v>0</v>
      </c>
      <c r="N294" s="79">
        <f t="shared" si="582"/>
        <v>0</v>
      </c>
      <c r="O294" s="79">
        <f t="shared" si="582"/>
        <v>5.0626499999999997</v>
      </c>
      <c r="P294" s="79">
        <f t="shared" si="600"/>
        <v>5.0626499999999997</v>
      </c>
      <c r="Q294" s="79">
        <f t="shared" si="601"/>
        <v>375.62403513908328</v>
      </c>
      <c r="R294" s="79">
        <f t="shared" si="583"/>
        <v>375.62403513908328</v>
      </c>
      <c r="S294" s="80">
        <f t="shared" si="602"/>
        <v>375.62403513908328</v>
      </c>
      <c r="T294" s="80">
        <f t="shared" si="584"/>
        <v>375.62403513908328</v>
      </c>
      <c r="U294" s="80">
        <f t="shared" si="585"/>
        <v>0</v>
      </c>
      <c r="V294" s="80">
        <f t="shared" si="585"/>
        <v>0</v>
      </c>
      <c r="W294" s="80">
        <f t="shared" si="585"/>
        <v>0</v>
      </c>
      <c r="X294" s="80">
        <f t="shared" si="603"/>
        <v>0</v>
      </c>
      <c r="Y294" s="80">
        <f t="shared" si="604"/>
        <v>375.62403513908328</v>
      </c>
      <c r="Z294" s="80">
        <f t="shared" si="586"/>
        <v>375.62403513908328</v>
      </c>
      <c r="AA294" s="81">
        <f t="shared" si="605"/>
        <v>375.62403513908328</v>
      </c>
      <c r="AB294" s="81">
        <f t="shared" si="587"/>
        <v>375.62403513908328</v>
      </c>
      <c r="AC294" s="81">
        <f t="shared" si="588"/>
        <v>0</v>
      </c>
      <c r="AD294" s="81">
        <f t="shared" si="588"/>
        <v>0</v>
      </c>
      <c r="AE294" s="81">
        <f t="shared" si="588"/>
        <v>0</v>
      </c>
      <c r="AF294" s="81">
        <f t="shared" si="606"/>
        <v>0</v>
      </c>
      <c r="AG294" s="81">
        <f t="shared" si="607"/>
        <v>375.62403513908328</v>
      </c>
      <c r="AH294" s="81">
        <f t="shared" si="589"/>
        <v>375.62403513908328</v>
      </c>
      <c r="AI294" s="82">
        <f t="shared" si="608"/>
        <v>375.62403513908328</v>
      </c>
      <c r="AJ294" s="82">
        <f t="shared" si="590"/>
        <v>375.62403513908328</v>
      </c>
      <c r="AK294" s="82">
        <f t="shared" si="591"/>
        <v>0</v>
      </c>
      <c r="AL294" s="82">
        <f t="shared" si="591"/>
        <v>0</v>
      </c>
      <c r="AM294" s="82">
        <f t="shared" si="591"/>
        <v>0</v>
      </c>
      <c r="AN294" s="82">
        <f t="shared" si="609"/>
        <v>0</v>
      </c>
      <c r="AO294" s="82">
        <f t="shared" si="610"/>
        <v>375.62403513908328</v>
      </c>
      <c r="AP294" s="82">
        <f t="shared" si="592"/>
        <v>375.62403513908328</v>
      </c>
      <c r="AQ294" s="83">
        <f t="shared" si="611"/>
        <v>375.62403513908328</v>
      </c>
      <c r="AR294" s="83">
        <f t="shared" si="593"/>
        <v>375.62403513908328</v>
      </c>
      <c r="AS294" s="83">
        <f t="shared" si="594"/>
        <v>0</v>
      </c>
      <c r="AT294" s="83">
        <f t="shared" si="594"/>
        <v>0</v>
      </c>
      <c r="AU294" s="83">
        <f t="shared" si="594"/>
        <v>0</v>
      </c>
      <c r="AV294" s="83">
        <f t="shared" si="612"/>
        <v>0</v>
      </c>
      <c r="AW294" s="83">
        <f t="shared" si="613"/>
        <v>375.62403513908328</v>
      </c>
      <c r="AX294" s="83">
        <f t="shared" si="595"/>
        <v>375.62403513908328</v>
      </c>
    </row>
    <row r="295" spans="2:50" x14ac:dyDescent="0.35">
      <c r="B295" s="7" t="s">
        <v>136</v>
      </c>
      <c r="C295" s="78">
        <f t="shared" si="596"/>
        <v>2454.203291017584</v>
      </c>
      <c r="D295" s="78">
        <f t="shared" si="596"/>
        <v>2454.203291017584</v>
      </c>
      <c r="E295" s="78">
        <f t="shared" si="596"/>
        <v>33.320203608</v>
      </c>
      <c r="F295" s="78">
        <f t="shared" si="596"/>
        <v>33.300427024741289</v>
      </c>
      <c r="G295" s="78">
        <f t="shared" si="596"/>
        <v>0.2179413</v>
      </c>
      <c r="H295" s="78">
        <f t="shared" si="597"/>
        <v>0.2179413</v>
      </c>
      <c r="I295" s="78">
        <f t="shared" si="598"/>
        <v>2487.3055533255842</v>
      </c>
      <c r="J295" s="78">
        <f t="shared" si="580"/>
        <v>2487.2857767423252</v>
      </c>
      <c r="K295" s="79">
        <f t="shared" si="599"/>
        <v>2487.3055533255842</v>
      </c>
      <c r="L295" s="79">
        <f t="shared" si="581"/>
        <v>2487.2857767423252</v>
      </c>
      <c r="M295" s="79">
        <f t="shared" si="582"/>
        <v>32.193748082000006</v>
      </c>
      <c r="N295" s="79">
        <f t="shared" si="582"/>
        <v>31.816963143712421</v>
      </c>
      <c r="O295" s="79">
        <f t="shared" si="582"/>
        <v>0</v>
      </c>
      <c r="P295" s="79">
        <f t="shared" si="600"/>
        <v>0</v>
      </c>
      <c r="Q295" s="79">
        <f t="shared" si="601"/>
        <v>2519.4993014075844</v>
      </c>
      <c r="R295" s="79">
        <f t="shared" si="583"/>
        <v>2519.1027398860374</v>
      </c>
      <c r="S295" s="80">
        <f t="shared" si="602"/>
        <v>2519.4993014075844</v>
      </c>
      <c r="T295" s="80">
        <f t="shared" si="584"/>
        <v>2519.1027398860374</v>
      </c>
      <c r="U295" s="80">
        <f t="shared" si="585"/>
        <v>115.97711063700001</v>
      </c>
      <c r="V295" s="80">
        <f t="shared" si="585"/>
        <v>114.84337165158828</v>
      </c>
      <c r="W295" s="80">
        <f t="shared" si="585"/>
        <v>3.6880945670000003</v>
      </c>
      <c r="X295" s="80">
        <f t="shared" si="603"/>
        <v>3.6880945670000003</v>
      </c>
      <c r="Y295" s="80">
        <f t="shared" si="604"/>
        <v>2631.7883174775843</v>
      </c>
      <c r="Z295" s="80">
        <f t="shared" si="586"/>
        <v>2630.2580169706257</v>
      </c>
      <c r="AA295" s="81">
        <f t="shared" si="605"/>
        <v>2631.7883174775843</v>
      </c>
      <c r="AB295" s="81">
        <f t="shared" si="587"/>
        <v>2630.2580169706257</v>
      </c>
      <c r="AC295" s="81">
        <f t="shared" si="588"/>
        <v>0</v>
      </c>
      <c r="AD295" s="81">
        <f t="shared" si="588"/>
        <v>0</v>
      </c>
      <c r="AE295" s="81">
        <f t="shared" si="588"/>
        <v>0</v>
      </c>
      <c r="AF295" s="81">
        <f t="shared" si="606"/>
        <v>0</v>
      </c>
      <c r="AG295" s="81">
        <f t="shared" si="607"/>
        <v>2631.7883174775843</v>
      </c>
      <c r="AH295" s="81">
        <f t="shared" si="589"/>
        <v>2630.2580169706257</v>
      </c>
      <c r="AI295" s="82">
        <f t="shared" si="608"/>
        <v>2631.7883174775843</v>
      </c>
      <c r="AJ295" s="82">
        <f t="shared" si="590"/>
        <v>2630.2580169706257</v>
      </c>
      <c r="AK295" s="82">
        <f t="shared" si="591"/>
        <v>0</v>
      </c>
      <c r="AL295" s="82">
        <f t="shared" si="591"/>
        <v>0</v>
      </c>
      <c r="AM295" s="82">
        <f t="shared" si="591"/>
        <v>0</v>
      </c>
      <c r="AN295" s="82">
        <f t="shared" si="609"/>
        <v>0</v>
      </c>
      <c r="AO295" s="82">
        <f t="shared" si="610"/>
        <v>2631.7883174775843</v>
      </c>
      <c r="AP295" s="82">
        <f t="shared" si="592"/>
        <v>2630.2580169706257</v>
      </c>
      <c r="AQ295" s="83">
        <f t="shared" si="611"/>
        <v>2631.7883174775843</v>
      </c>
      <c r="AR295" s="83">
        <f t="shared" si="593"/>
        <v>2630.2580169706257</v>
      </c>
      <c r="AS295" s="83">
        <f t="shared" si="594"/>
        <v>0</v>
      </c>
      <c r="AT295" s="83">
        <f t="shared" si="594"/>
        <v>0</v>
      </c>
      <c r="AU295" s="83">
        <f t="shared" si="594"/>
        <v>0</v>
      </c>
      <c r="AV295" s="83">
        <f t="shared" si="612"/>
        <v>0</v>
      </c>
      <c r="AW295" s="83">
        <f t="shared" si="613"/>
        <v>2631.7883174775843</v>
      </c>
      <c r="AX295" s="83">
        <f t="shared" si="595"/>
        <v>2630.2580169706257</v>
      </c>
    </row>
    <row r="296" spans="2:50" x14ac:dyDescent="0.35">
      <c r="B296" s="7" t="s">
        <v>137</v>
      </c>
      <c r="C296" s="78">
        <f t="shared" si="596"/>
        <v>1977.0070434242241</v>
      </c>
      <c r="D296" s="78">
        <f t="shared" si="596"/>
        <v>1977.0070434242241</v>
      </c>
      <c r="E296" s="78">
        <f t="shared" si="596"/>
        <v>152.96557811800002</v>
      </c>
      <c r="F296" s="78">
        <f t="shared" si="596"/>
        <v>152.70566942026321</v>
      </c>
      <c r="G296" s="78">
        <f t="shared" si="596"/>
        <v>5.7673289999999999E-3</v>
      </c>
      <c r="H296" s="78">
        <f t="shared" si="597"/>
        <v>5.7673289999999999E-3</v>
      </c>
      <c r="I296" s="78">
        <f t="shared" si="598"/>
        <v>2129.9668542132245</v>
      </c>
      <c r="J296" s="78">
        <f t="shared" si="580"/>
        <v>2129.7069455154874</v>
      </c>
      <c r="K296" s="79">
        <f t="shared" si="599"/>
        <v>2129.9668542132245</v>
      </c>
      <c r="L296" s="79">
        <f t="shared" si="581"/>
        <v>2129.7069455154874</v>
      </c>
      <c r="M296" s="79">
        <f t="shared" si="582"/>
        <v>211.012607847</v>
      </c>
      <c r="N296" s="79">
        <f t="shared" si="582"/>
        <v>206.74649851505686</v>
      </c>
      <c r="O296" s="79">
        <f t="shared" si="582"/>
        <v>0</v>
      </c>
      <c r="P296" s="79">
        <f t="shared" si="600"/>
        <v>0</v>
      </c>
      <c r="Q296" s="79">
        <f t="shared" si="601"/>
        <v>2340.9794620602243</v>
      </c>
      <c r="R296" s="79">
        <f t="shared" si="583"/>
        <v>2336.4534440305442</v>
      </c>
      <c r="S296" s="80">
        <f t="shared" si="602"/>
        <v>2340.9794620602243</v>
      </c>
      <c r="T296" s="80">
        <f t="shared" si="584"/>
        <v>2336.4534440305442</v>
      </c>
      <c r="U296" s="80">
        <f t="shared" si="585"/>
        <v>110.16735029736057</v>
      </c>
      <c r="V296" s="80">
        <f t="shared" si="585"/>
        <v>108.77284525321446</v>
      </c>
      <c r="W296" s="80">
        <f t="shared" si="585"/>
        <v>12.453862199</v>
      </c>
      <c r="X296" s="80">
        <f t="shared" si="603"/>
        <v>12.453862199</v>
      </c>
      <c r="Y296" s="80">
        <f t="shared" si="604"/>
        <v>2438.6929501585846</v>
      </c>
      <c r="Z296" s="80">
        <f t="shared" si="586"/>
        <v>2432.7724270847589</v>
      </c>
      <c r="AA296" s="81">
        <f t="shared" si="605"/>
        <v>2438.6929501585846</v>
      </c>
      <c r="AB296" s="81">
        <f t="shared" si="587"/>
        <v>2432.7724270847589</v>
      </c>
      <c r="AC296" s="81">
        <f t="shared" si="588"/>
        <v>0</v>
      </c>
      <c r="AD296" s="81">
        <f t="shared" si="588"/>
        <v>0</v>
      </c>
      <c r="AE296" s="81">
        <f t="shared" si="588"/>
        <v>0</v>
      </c>
      <c r="AF296" s="81">
        <f t="shared" si="606"/>
        <v>0</v>
      </c>
      <c r="AG296" s="81">
        <f t="shared" si="607"/>
        <v>2438.6929501585846</v>
      </c>
      <c r="AH296" s="81">
        <f t="shared" si="589"/>
        <v>2432.7724270847589</v>
      </c>
      <c r="AI296" s="82">
        <f t="shared" si="608"/>
        <v>2438.6929501585846</v>
      </c>
      <c r="AJ296" s="82">
        <f t="shared" si="590"/>
        <v>2432.7724270847589</v>
      </c>
      <c r="AK296" s="82">
        <f t="shared" si="591"/>
        <v>0</v>
      </c>
      <c r="AL296" s="82">
        <f t="shared" si="591"/>
        <v>0</v>
      </c>
      <c r="AM296" s="82">
        <f t="shared" si="591"/>
        <v>0</v>
      </c>
      <c r="AN296" s="82">
        <f t="shared" si="609"/>
        <v>0</v>
      </c>
      <c r="AO296" s="82">
        <f t="shared" si="610"/>
        <v>2438.6929501585846</v>
      </c>
      <c r="AP296" s="82">
        <f t="shared" si="592"/>
        <v>2432.7724270847589</v>
      </c>
      <c r="AQ296" s="83">
        <f t="shared" si="611"/>
        <v>2438.6929501585846</v>
      </c>
      <c r="AR296" s="83">
        <f t="shared" si="593"/>
        <v>2432.7724270847589</v>
      </c>
      <c r="AS296" s="83">
        <f t="shared" si="594"/>
        <v>0</v>
      </c>
      <c r="AT296" s="83">
        <f t="shared" si="594"/>
        <v>0</v>
      </c>
      <c r="AU296" s="83">
        <f t="shared" si="594"/>
        <v>0</v>
      </c>
      <c r="AV296" s="83">
        <f t="shared" si="612"/>
        <v>0</v>
      </c>
      <c r="AW296" s="83">
        <f t="shared" si="613"/>
        <v>2438.6929501585846</v>
      </c>
      <c r="AX296" s="83">
        <f t="shared" si="595"/>
        <v>2432.7724270847589</v>
      </c>
    </row>
    <row r="297" spans="2:50" x14ac:dyDescent="0.35">
      <c r="B297" s="7" t="s">
        <v>138</v>
      </c>
      <c r="C297" s="78">
        <f t="shared" si="596"/>
        <v>40498.271921082865</v>
      </c>
      <c r="D297" s="78">
        <f t="shared" si="596"/>
        <v>40383.243652015954</v>
      </c>
      <c r="E297" s="78">
        <f t="shared" si="596"/>
        <v>352.85059927099996</v>
      </c>
      <c r="F297" s="78">
        <f t="shared" si="596"/>
        <v>351.50770898901925</v>
      </c>
      <c r="G297" s="78">
        <f t="shared" si="596"/>
        <v>15.5635636</v>
      </c>
      <c r="H297" s="78">
        <f t="shared" si="597"/>
        <v>15.5635636</v>
      </c>
      <c r="I297" s="78">
        <f t="shared" si="598"/>
        <v>40835.558956753863</v>
      </c>
      <c r="J297" s="78">
        <f t="shared" si="580"/>
        <v>40719.187797404971</v>
      </c>
      <c r="K297" s="79">
        <f t="shared" si="599"/>
        <v>40835.558956753863</v>
      </c>
      <c r="L297" s="79">
        <f t="shared" si="581"/>
        <v>40719.187797404971</v>
      </c>
      <c r="M297" s="79">
        <f t="shared" si="582"/>
        <v>251.14151791249998</v>
      </c>
      <c r="N297" s="79">
        <f t="shared" si="582"/>
        <v>248.50747831497017</v>
      </c>
      <c r="O297" s="79">
        <f t="shared" si="582"/>
        <v>2.2123567999999998</v>
      </c>
      <c r="P297" s="79">
        <f t="shared" si="600"/>
        <v>2.2123567999999998</v>
      </c>
      <c r="Q297" s="79">
        <f t="shared" si="601"/>
        <v>41084.488117866364</v>
      </c>
      <c r="R297" s="79">
        <f t="shared" si="583"/>
        <v>40965.482918919937</v>
      </c>
      <c r="S297" s="80">
        <f t="shared" si="602"/>
        <v>41084.488117866364</v>
      </c>
      <c r="T297" s="80">
        <f t="shared" si="584"/>
        <v>40965.482918919937</v>
      </c>
      <c r="U297" s="80">
        <f t="shared" si="585"/>
        <v>841.54895339399968</v>
      </c>
      <c r="V297" s="80">
        <f t="shared" si="585"/>
        <v>812.66808133319921</v>
      </c>
      <c r="W297" s="80">
        <f t="shared" si="585"/>
        <v>133.883494044</v>
      </c>
      <c r="X297" s="80">
        <f t="shared" si="603"/>
        <v>133.883494044</v>
      </c>
      <c r="Y297" s="80">
        <f t="shared" si="604"/>
        <v>41792.153577216362</v>
      </c>
      <c r="Z297" s="80">
        <f t="shared" si="586"/>
        <v>41644.267506209137</v>
      </c>
      <c r="AA297" s="81">
        <f t="shared" si="605"/>
        <v>41792.153577216362</v>
      </c>
      <c r="AB297" s="81">
        <f t="shared" si="587"/>
        <v>41644.267506209137</v>
      </c>
      <c r="AC297" s="81">
        <f t="shared" si="588"/>
        <v>1188.6399999999999</v>
      </c>
      <c r="AD297" s="81">
        <f t="shared" si="588"/>
        <v>1118.6987553030001</v>
      </c>
      <c r="AE297" s="81">
        <f t="shared" si="588"/>
        <v>0</v>
      </c>
      <c r="AF297" s="81">
        <f t="shared" si="606"/>
        <v>0</v>
      </c>
      <c r="AG297" s="81">
        <f t="shared" si="607"/>
        <v>42980.793577216362</v>
      </c>
      <c r="AH297" s="81">
        <f t="shared" si="589"/>
        <v>42762.966261512134</v>
      </c>
      <c r="AI297" s="82">
        <f t="shared" si="608"/>
        <v>42980.793577216362</v>
      </c>
      <c r="AJ297" s="82">
        <f t="shared" si="590"/>
        <v>42762.966261512134</v>
      </c>
      <c r="AK297" s="82">
        <f t="shared" si="591"/>
        <v>2450.3700000000003</v>
      </c>
      <c r="AL297" s="82">
        <f t="shared" si="591"/>
        <v>1569.1590862956521</v>
      </c>
      <c r="AM297" s="82">
        <f t="shared" si="591"/>
        <v>0</v>
      </c>
      <c r="AN297" s="82">
        <f t="shared" si="609"/>
        <v>0</v>
      </c>
      <c r="AO297" s="82">
        <f t="shared" si="610"/>
        <v>45431.163577216365</v>
      </c>
      <c r="AP297" s="82">
        <f t="shared" si="592"/>
        <v>44332.125347807785</v>
      </c>
      <c r="AQ297" s="83">
        <f t="shared" si="611"/>
        <v>45431.163577216365</v>
      </c>
      <c r="AR297" s="83">
        <f t="shared" si="593"/>
        <v>44332.125347807785</v>
      </c>
      <c r="AS297" s="83">
        <f t="shared" si="594"/>
        <v>8329.010000000002</v>
      </c>
      <c r="AT297" s="83">
        <f t="shared" si="594"/>
        <v>3699.0619173588079</v>
      </c>
      <c r="AU297" s="83">
        <f t="shared" si="594"/>
        <v>0</v>
      </c>
      <c r="AV297" s="83">
        <f t="shared" si="612"/>
        <v>0</v>
      </c>
      <c r="AW297" s="83">
        <f t="shared" si="613"/>
        <v>53760.173577216367</v>
      </c>
      <c r="AX297" s="83">
        <f t="shared" si="595"/>
        <v>48031.187265166591</v>
      </c>
    </row>
    <row r="298" spans="2:50" x14ac:dyDescent="0.35">
      <c r="B298" s="7" t="s">
        <v>139</v>
      </c>
      <c r="C298" s="78">
        <f t="shared" si="596"/>
        <v>18.406073290552264</v>
      </c>
      <c r="D298" s="78">
        <f t="shared" si="596"/>
        <v>18.406073290552264</v>
      </c>
      <c r="E298" s="78">
        <f t="shared" si="596"/>
        <v>14.9885442</v>
      </c>
      <c r="F298" s="78">
        <f t="shared" si="596"/>
        <v>14.987735976844856</v>
      </c>
      <c r="G298" s="78">
        <f t="shared" si="596"/>
        <v>6.560736178</v>
      </c>
      <c r="H298" s="78">
        <f t="shared" si="597"/>
        <v>6.560736178</v>
      </c>
      <c r="I298" s="78">
        <f t="shared" si="598"/>
        <v>26.833881312552265</v>
      </c>
      <c r="J298" s="78">
        <f t="shared" si="580"/>
        <v>26.833073089397118</v>
      </c>
      <c r="K298" s="79">
        <f t="shared" si="599"/>
        <v>26.833881312552265</v>
      </c>
      <c r="L298" s="79">
        <f t="shared" si="581"/>
        <v>26.833073089397118</v>
      </c>
      <c r="M298" s="79">
        <f t="shared" si="582"/>
        <v>6.7031108760000002</v>
      </c>
      <c r="N298" s="79">
        <f t="shared" si="582"/>
        <v>6.69763312357074</v>
      </c>
      <c r="O298" s="79">
        <f t="shared" si="582"/>
        <v>7.3423600000000006E-2</v>
      </c>
      <c r="P298" s="79">
        <f t="shared" si="600"/>
        <v>7.3423600000000006E-2</v>
      </c>
      <c r="Q298" s="79">
        <f t="shared" si="601"/>
        <v>33.463568588552263</v>
      </c>
      <c r="R298" s="79">
        <f t="shared" si="583"/>
        <v>33.457282612967859</v>
      </c>
      <c r="S298" s="80">
        <f t="shared" si="602"/>
        <v>33.463568588552263</v>
      </c>
      <c r="T298" s="80">
        <f t="shared" si="584"/>
        <v>33.457282612967859</v>
      </c>
      <c r="U298" s="80">
        <f t="shared" si="585"/>
        <v>8.0413426000000001</v>
      </c>
      <c r="V298" s="80">
        <f t="shared" si="585"/>
        <v>8.0391065865888187</v>
      </c>
      <c r="W298" s="80">
        <f t="shared" si="585"/>
        <v>3.7917640000000001</v>
      </c>
      <c r="X298" s="80">
        <f t="shared" si="603"/>
        <v>3.7917640000000001</v>
      </c>
      <c r="Y298" s="80">
        <f t="shared" si="604"/>
        <v>37.713147188552263</v>
      </c>
      <c r="Z298" s="80">
        <f t="shared" si="586"/>
        <v>37.704625199556673</v>
      </c>
      <c r="AA298" s="81">
        <f t="shared" si="605"/>
        <v>37.713147188552263</v>
      </c>
      <c r="AB298" s="81">
        <f t="shared" si="587"/>
        <v>37.704625199556673</v>
      </c>
      <c r="AC298" s="81">
        <f t="shared" si="588"/>
        <v>0</v>
      </c>
      <c r="AD298" s="81">
        <f t="shared" si="588"/>
        <v>0</v>
      </c>
      <c r="AE298" s="81">
        <f t="shared" si="588"/>
        <v>0</v>
      </c>
      <c r="AF298" s="81">
        <f t="shared" si="606"/>
        <v>0</v>
      </c>
      <c r="AG298" s="81">
        <f t="shared" si="607"/>
        <v>37.713147188552263</v>
      </c>
      <c r="AH298" s="81">
        <f t="shared" si="589"/>
        <v>37.704625199556673</v>
      </c>
      <c r="AI298" s="82">
        <f t="shared" si="608"/>
        <v>37.713147188552263</v>
      </c>
      <c r="AJ298" s="82">
        <f t="shared" si="590"/>
        <v>37.704625199556673</v>
      </c>
      <c r="AK298" s="82">
        <f t="shared" si="591"/>
        <v>0</v>
      </c>
      <c r="AL298" s="82">
        <f t="shared" si="591"/>
        <v>0</v>
      </c>
      <c r="AM298" s="82">
        <f t="shared" si="591"/>
        <v>0</v>
      </c>
      <c r="AN298" s="82">
        <f t="shared" si="609"/>
        <v>0</v>
      </c>
      <c r="AO298" s="82">
        <f t="shared" si="610"/>
        <v>37.713147188552263</v>
      </c>
      <c r="AP298" s="82">
        <f t="shared" si="592"/>
        <v>37.704625199556673</v>
      </c>
      <c r="AQ298" s="83">
        <f t="shared" si="611"/>
        <v>37.713147188552263</v>
      </c>
      <c r="AR298" s="83">
        <f t="shared" si="593"/>
        <v>37.704625199556673</v>
      </c>
      <c r="AS298" s="83">
        <f t="shared" si="594"/>
        <v>0</v>
      </c>
      <c r="AT298" s="83">
        <f t="shared" si="594"/>
        <v>0</v>
      </c>
      <c r="AU298" s="83">
        <f t="shared" si="594"/>
        <v>0</v>
      </c>
      <c r="AV298" s="83">
        <f t="shared" si="612"/>
        <v>0</v>
      </c>
      <c r="AW298" s="83">
        <f t="shared" si="613"/>
        <v>37.713147188552263</v>
      </c>
      <c r="AX298" s="83">
        <f t="shared" si="595"/>
        <v>37.704625199556673</v>
      </c>
    </row>
    <row r="299" spans="2:50" x14ac:dyDescent="0.35">
      <c r="B299" s="7" t="s">
        <v>140</v>
      </c>
      <c r="C299" s="78">
        <f t="shared" si="596"/>
        <v>39.077285515166025</v>
      </c>
      <c r="D299" s="78">
        <f t="shared" si="596"/>
        <v>39.077285515166025</v>
      </c>
      <c r="E299" s="78">
        <f t="shared" si="596"/>
        <v>0.17022747599999999</v>
      </c>
      <c r="F299" s="78">
        <f t="shared" si="596"/>
        <v>0.1702812652570676</v>
      </c>
      <c r="G299" s="78">
        <f t="shared" si="596"/>
        <v>0</v>
      </c>
      <c r="H299" s="78">
        <f t="shared" si="597"/>
        <v>0</v>
      </c>
      <c r="I299" s="78">
        <f t="shared" si="598"/>
        <v>39.247512991166026</v>
      </c>
      <c r="J299" s="78">
        <f t="shared" si="580"/>
        <v>39.247566780423092</v>
      </c>
      <c r="K299" s="79">
        <f t="shared" si="599"/>
        <v>39.247512991166026</v>
      </c>
      <c r="L299" s="79">
        <f t="shared" si="581"/>
        <v>39.247566780423092</v>
      </c>
      <c r="M299" s="79">
        <f t="shared" si="582"/>
        <v>0.34591155699999998</v>
      </c>
      <c r="N299" s="79">
        <f t="shared" si="582"/>
        <v>0.34325199912627735</v>
      </c>
      <c r="O299" s="79">
        <f t="shared" si="582"/>
        <v>0</v>
      </c>
      <c r="P299" s="79">
        <f t="shared" si="600"/>
        <v>0</v>
      </c>
      <c r="Q299" s="79">
        <f t="shared" si="601"/>
        <v>39.593424548166027</v>
      </c>
      <c r="R299" s="79">
        <f t="shared" si="583"/>
        <v>39.590818779549373</v>
      </c>
      <c r="S299" s="80">
        <f t="shared" si="602"/>
        <v>39.593424548166027</v>
      </c>
      <c r="T299" s="80">
        <f t="shared" si="584"/>
        <v>39.590818779549373</v>
      </c>
      <c r="U299" s="80">
        <f t="shared" si="585"/>
        <v>5.2859752000000003E-2</v>
      </c>
      <c r="V299" s="80">
        <f t="shared" si="585"/>
        <v>5.284430853222262E-2</v>
      </c>
      <c r="W299" s="80">
        <f t="shared" si="585"/>
        <v>0</v>
      </c>
      <c r="X299" s="80">
        <f t="shared" si="603"/>
        <v>0</v>
      </c>
      <c r="Y299" s="80">
        <f t="shared" si="604"/>
        <v>39.64628430016603</v>
      </c>
      <c r="Z299" s="80">
        <f t="shared" si="586"/>
        <v>39.643663088081595</v>
      </c>
      <c r="AA299" s="81">
        <f t="shared" si="605"/>
        <v>39.64628430016603</v>
      </c>
      <c r="AB299" s="81">
        <f t="shared" si="587"/>
        <v>39.643663088081595</v>
      </c>
      <c r="AC299" s="81">
        <f t="shared" si="588"/>
        <v>0</v>
      </c>
      <c r="AD299" s="81">
        <f t="shared" si="588"/>
        <v>0</v>
      </c>
      <c r="AE299" s="81">
        <f t="shared" si="588"/>
        <v>0</v>
      </c>
      <c r="AF299" s="81">
        <f t="shared" si="606"/>
        <v>0</v>
      </c>
      <c r="AG299" s="81">
        <f t="shared" si="607"/>
        <v>39.64628430016603</v>
      </c>
      <c r="AH299" s="81">
        <f t="shared" si="589"/>
        <v>39.643663088081595</v>
      </c>
      <c r="AI299" s="82">
        <f t="shared" si="608"/>
        <v>39.64628430016603</v>
      </c>
      <c r="AJ299" s="82">
        <f t="shared" si="590"/>
        <v>39.643663088081595</v>
      </c>
      <c r="AK299" s="82">
        <f t="shared" si="591"/>
        <v>0</v>
      </c>
      <c r="AL299" s="82">
        <f t="shared" si="591"/>
        <v>0</v>
      </c>
      <c r="AM299" s="82">
        <f t="shared" si="591"/>
        <v>0</v>
      </c>
      <c r="AN299" s="82">
        <f t="shared" si="609"/>
        <v>0</v>
      </c>
      <c r="AO299" s="82">
        <f t="shared" si="610"/>
        <v>39.64628430016603</v>
      </c>
      <c r="AP299" s="82">
        <f t="shared" si="592"/>
        <v>39.643663088081595</v>
      </c>
      <c r="AQ299" s="83">
        <f t="shared" si="611"/>
        <v>39.64628430016603</v>
      </c>
      <c r="AR299" s="83">
        <f t="shared" si="593"/>
        <v>39.643663088081595</v>
      </c>
      <c r="AS299" s="83">
        <f t="shared" si="594"/>
        <v>0</v>
      </c>
      <c r="AT299" s="83">
        <f t="shared" si="594"/>
        <v>0</v>
      </c>
      <c r="AU299" s="83">
        <f t="shared" si="594"/>
        <v>0</v>
      </c>
      <c r="AV299" s="83">
        <f t="shared" si="612"/>
        <v>0</v>
      </c>
      <c r="AW299" s="83">
        <f t="shared" si="613"/>
        <v>39.64628430016603</v>
      </c>
      <c r="AX299" s="83">
        <f t="shared" si="595"/>
        <v>39.643663088081595</v>
      </c>
    </row>
    <row r="300" spans="2:50" x14ac:dyDescent="0.35">
      <c r="B300" s="7" t="s">
        <v>141</v>
      </c>
      <c r="C300" s="78">
        <f t="shared" si="596"/>
        <v>460.06740796198687</v>
      </c>
      <c r="D300" s="78">
        <f t="shared" si="596"/>
        <v>460.06740796198687</v>
      </c>
      <c r="E300" s="78">
        <f t="shared" si="596"/>
        <v>2.9278183999999999E-2</v>
      </c>
      <c r="F300" s="78">
        <f t="shared" si="596"/>
        <v>2.9092449275077953E-2</v>
      </c>
      <c r="G300" s="78">
        <f t="shared" si="596"/>
        <v>0.10332860000000001</v>
      </c>
      <c r="H300" s="78">
        <f t="shared" si="597"/>
        <v>0.10332860000000001</v>
      </c>
      <c r="I300" s="78">
        <f t="shared" si="598"/>
        <v>459.9933575459869</v>
      </c>
      <c r="J300" s="78">
        <f t="shared" si="580"/>
        <v>459.99317181126196</v>
      </c>
      <c r="K300" s="79">
        <f t="shared" si="599"/>
        <v>459.9933575459869</v>
      </c>
      <c r="L300" s="79">
        <f t="shared" si="581"/>
        <v>459.99317181126196</v>
      </c>
      <c r="M300" s="79">
        <f t="shared" si="582"/>
        <v>0</v>
      </c>
      <c r="N300" s="79">
        <f t="shared" si="582"/>
        <v>0</v>
      </c>
      <c r="O300" s="79">
        <f t="shared" si="582"/>
        <v>0</v>
      </c>
      <c r="P300" s="79">
        <f t="shared" si="600"/>
        <v>0</v>
      </c>
      <c r="Q300" s="79">
        <f t="shared" si="601"/>
        <v>459.9933575459869</v>
      </c>
      <c r="R300" s="79">
        <f t="shared" si="583"/>
        <v>459.99317181126196</v>
      </c>
      <c r="S300" s="80">
        <f t="shared" si="602"/>
        <v>459.9933575459869</v>
      </c>
      <c r="T300" s="80">
        <f t="shared" si="584"/>
        <v>459.99317181126196</v>
      </c>
      <c r="U300" s="80">
        <f t="shared" si="585"/>
        <v>0</v>
      </c>
      <c r="V300" s="80">
        <f t="shared" si="585"/>
        <v>0</v>
      </c>
      <c r="W300" s="80">
        <f t="shared" si="585"/>
        <v>1.4327033980000001</v>
      </c>
      <c r="X300" s="80">
        <f t="shared" si="603"/>
        <v>1.4327033980000001</v>
      </c>
      <c r="Y300" s="80">
        <f t="shared" si="604"/>
        <v>458.5606541479869</v>
      </c>
      <c r="Z300" s="80">
        <f t="shared" si="586"/>
        <v>458.56046841326196</v>
      </c>
      <c r="AA300" s="81">
        <f t="shared" si="605"/>
        <v>458.5606541479869</v>
      </c>
      <c r="AB300" s="81">
        <f t="shared" si="587"/>
        <v>458.56046841326196</v>
      </c>
      <c r="AC300" s="81">
        <f t="shared" si="588"/>
        <v>0</v>
      </c>
      <c r="AD300" s="81">
        <f t="shared" si="588"/>
        <v>0</v>
      </c>
      <c r="AE300" s="81">
        <f t="shared" si="588"/>
        <v>0</v>
      </c>
      <c r="AF300" s="81">
        <f t="shared" si="606"/>
        <v>0</v>
      </c>
      <c r="AG300" s="81">
        <f t="shared" si="607"/>
        <v>458.5606541479869</v>
      </c>
      <c r="AH300" s="81">
        <f t="shared" si="589"/>
        <v>458.56046841326196</v>
      </c>
      <c r="AI300" s="82">
        <f t="shared" si="608"/>
        <v>458.5606541479869</v>
      </c>
      <c r="AJ300" s="82">
        <f t="shared" si="590"/>
        <v>458.56046841326196</v>
      </c>
      <c r="AK300" s="82">
        <f t="shared" si="591"/>
        <v>0</v>
      </c>
      <c r="AL300" s="82">
        <f t="shared" si="591"/>
        <v>0</v>
      </c>
      <c r="AM300" s="82">
        <f t="shared" si="591"/>
        <v>0</v>
      </c>
      <c r="AN300" s="82">
        <f t="shared" si="609"/>
        <v>0</v>
      </c>
      <c r="AO300" s="82">
        <f t="shared" si="610"/>
        <v>458.5606541479869</v>
      </c>
      <c r="AP300" s="82">
        <f t="shared" si="592"/>
        <v>458.56046841326196</v>
      </c>
      <c r="AQ300" s="83">
        <f t="shared" si="611"/>
        <v>458.5606541479869</v>
      </c>
      <c r="AR300" s="83">
        <f t="shared" si="593"/>
        <v>458.56046841326196</v>
      </c>
      <c r="AS300" s="83">
        <f t="shared" si="594"/>
        <v>0</v>
      </c>
      <c r="AT300" s="83">
        <f t="shared" si="594"/>
        <v>0</v>
      </c>
      <c r="AU300" s="83">
        <f t="shared" si="594"/>
        <v>0</v>
      </c>
      <c r="AV300" s="83">
        <f t="shared" si="612"/>
        <v>0</v>
      </c>
      <c r="AW300" s="83">
        <f t="shared" si="613"/>
        <v>458.5606541479869</v>
      </c>
      <c r="AX300" s="83">
        <f t="shared" si="595"/>
        <v>458.56046841326196</v>
      </c>
    </row>
    <row r="301" spans="2:50" x14ac:dyDescent="0.35">
      <c r="B301" s="7" t="s">
        <v>142</v>
      </c>
      <c r="C301" s="78">
        <f t="shared" si="596"/>
        <v>20.601207961768569</v>
      </c>
      <c r="D301" s="78">
        <f t="shared" si="596"/>
        <v>20.601207961768569</v>
      </c>
      <c r="E301" s="78">
        <f t="shared" si="596"/>
        <v>2.856824193</v>
      </c>
      <c r="F301" s="78">
        <f t="shared" si="596"/>
        <v>2.8150803015678569</v>
      </c>
      <c r="G301" s="78">
        <f t="shared" si="596"/>
        <v>0.54943770000000003</v>
      </c>
      <c r="H301" s="78">
        <f t="shared" si="597"/>
        <v>0.54943770000000003</v>
      </c>
      <c r="I301" s="78">
        <f t="shared" si="598"/>
        <v>22.908594454768572</v>
      </c>
      <c r="J301" s="78">
        <f t="shared" si="580"/>
        <v>22.866850563336428</v>
      </c>
      <c r="K301" s="79">
        <f t="shared" si="599"/>
        <v>22.908594454768572</v>
      </c>
      <c r="L301" s="79">
        <f t="shared" si="581"/>
        <v>22.866850563336428</v>
      </c>
      <c r="M301" s="79">
        <f t="shared" si="582"/>
        <v>6.9817072639999997</v>
      </c>
      <c r="N301" s="79">
        <f t="shared" si="582"/>
        <v>6.9095993115693215</v>
      </c>
      <c r="O301" s="79">
        <f t="shared" si="582"/>
        <v>0.30452602600000001</v>
      </c>
      <c r="P301" s="79">
        <f t="shared" si="600"/>
        <v>0.30452602600000001</v>
      </c>
      <c r="Q301" s="79">
        <f t="shared" si="601"/>
        <v>29.585775692768571</v>
      </c>
      <c r="R301" s="79">
        <f t="shared" si="583"/>
        <v>29.47192384890575</v>
      </c>
      <c r="S301" s="80">
        <f t="shared" si="602"/>
        <v>29.585775692768571</v>
      </c>
      <c r="T301" s="80">
        <f t="shared" si="584"/>
        <v>29.47192384890575</v>
      </c>
      <c r="U301" s="80">
        <f t="shared" si="585"/>
        <v>9.6517561599999997</v>
      </c>
      <c r="V301" s="80">
        <f t="shared" si="585"/>
        <v>9.5435789794379424</v>
      </c>
      <c r="W301" s="80">
        <f t="shared" si="585"/>
        <v>0</v>
      </c>
      <c r="X301" s="80">
        <f t="shared" si="603"/>
        <v>0</v>
      </c>
      <c r="Y301" s="80">
        <f t="shared" si="604"/>
        <v>39.237531852768569</v>
      </c>
      <c r="Z301" s="80">
        <f t="shared" si="586"/>
        <v>39.015502828343692</v>
      </c>
      <c r="AA301" s="81">
        <f t="shared" si="605"/>
        <v>39.237531852768569</v>
      </c>
      <c r="AB301" s="81">
        <f t="shared" si="587"/>
        <v>39.015502828343692</v>
      </c>
      <c r="AC301" s="81">
        <f t="shared" si="588"/>
        <v>0</v>
      </c>
      <c r="AD301" s="81">
        <f t="shared" si="588"/>
        <v>0</v>
      </c>
      <c r="AE301" s="81">
        <f t="shared" si="588"/>
        <v>0</v>
      </c>
      <c r="AF301" s="81">
        <f t="shared" si="606"/>
        <v>0</v>
      </c>
      <c r="AG301" s="81">
        <f t="shared" si="607"/>
        <v>39.237531852768569</v>
      </c>
      <c r="AH301" s="81">
        <f t="shared" si="589"/>
        <v>39.015502828343692</v>
      </c>
      <c r="AI301" s="82">
        <f t="shared" si="608"/>
        <v>39.237531852768569</v>
      </c>
      <c r="AJ301" s="82">
        <f t="shared" si="590"/>
        <v>39.015502828343692</v>
      </c>
      <c r="AK301" s="82">
        <f t="shared" si="591"/>
        <v>0</v>
      </c>
      <c r="AL301" s="82">
        <f t="shared" si="591"/>
        <v>0</v>
      </c>
      <c r="AM301" s="82">
        <f t="shared" si="591"/>
        <v>0</v>
      </c>
      <c r="AN301" s="82">
        <f t="shared" si="609"/>
        <v>0</v>
      </c>
      <c r="AO301" s="82">
        <f t="shared" si="610"/>
        <v>39.237531852768569</v>
      </c>
      <c r="AP301" s="82">
        <f t="shared" si="592"/>
        <v>39.015502828343692</v>
      </c>
      <c r="AQ301" s="83">
        <f t="shared" si="611"/>
        <v>39.237531852768569</v>
      </c>
      <c r="AR301" s="83">
        <f t="shared" si="593"/>
        <v>39.015502828343692</v>
      </c>
      <c r="AS301" s="83">
        <f t="shared" si="594"/>
        <v>0</v>
      </c>
      <c r="AT301" s="83">
        <f t="shared" si="594"/>
        <v>0</v>
      </c>
      <c r="AU301" s="83">
        <f t="shared" si="594"/>
        <v>0</v>
      </c>
      <c r="AV301" s="83">
        <f t="shared" si="612"/>
        <v>0</v>
      </c>
      <c r="AW301" s="83">
        <f t="shared" si="613"/>
        <v>39.237531852768569</v>
      </c>
      <c r="AX301" s="83">
        <f t="shared" si="595"/>
        <v>39.015502828343692</v>
      </c>
    </row>
    <row r="302" spans="2:50" x14ac:dyDescent="0.35">
      <c r="B302" s="7" t="s">
        <v>143</v>
      </c>
      <c r="C302" s="78">
        <f t="shared" si="596"/>
        <v>29.827032378657442</v>
      </c>
      <c r="D302" s="78">
        <f t="shared" si="596"/>
        <v>29.827032378657442</v>
      </c>
      <c r="E302" s="78">
        <f t="shared" si="596"/>
        <v>2.3020418949999994</v>
      </c>
      <c r="F302" s="78">
        <f t="shared" si="596"/>
        <v>2.2626014072489187</v>
      </c>
      <c r="G302" s="78">
        <f t="shared" si="596"/>
        <v>0.315971</v>
      </c>
      <c r="H302" s="78">
        <f t="shared" si="597"/>
        <v>0.315971</v>
      </c>
      <c r="I302" s="78">
        <f t="shared" si="598"/>
        <v>31.813103273657443</v>
      </c>
      <c r="J302" s="78">
        <f t="shared" si="580"/>
        <v>31.773662785906357</v>
      </c>
      <c r="K302" s="79">
        <f t="shared" si="599"/>
        <v>31.813103273657443</v>
      </c>
      <c r="L302" s="79">
        <f t="shared" si="581"/>
        <v>31.773662785906357</v>
      </c>
      <c r="M302" s="79">
        <f t="shared" si="582"/>
        <v>2.7120893920000002</v>
      </c>
      <c r="N302" s="79">
        <f t="shared" si="582"/>
        <v>2.6536271962641385</v>
      </c>
      <c r="O302" s="79">
        <f t="shared" si="582"/>
        <v>0</v>
      </c>
      <c r="P302" s="79">
        <f t="shared" si="600"/>
        <v>0</v>
      </c>
      <c r="Q302" s="79">
        <f t="shared" si="601"/>
        <v>34.525192665657443</v>
      </c>
      <c r="R302" s="79">
        <f t="shared" si="583"/>
        <v>34.427289982170493</v>
      </c>
      <c r="S302" s="80">
        <f t="shared" si="602"/>
        <v>34.525192665657443</v>
      </c>
      <c r="T302" s="80">
        <f t="shared" si="584"/>
        <v>34.427289982170493</v>
      </c>
      <c r="U302" s="80">
        <f t="shared" si="585"/>
        <v>1.5276033609999997</v>
      </c>
      <c r="V302" s="80">
        <f t="shared" si="585"/>
        <v>1.5021948433935961</v>
      </c>
      <c r="W302" s="80">
        <f t="shared" si="585"/>
        <v>0</v>
      </c>
      <c r="X302" s="80">
        <f t="shared" si="603"/>
        <v>0</v>
      </c>
      <c r="Y302" s="80">
        <f t="shared" si="604"/>
        <v>36.05279602665744</v>
      </c>
      <c r="Z302" s="80">
        <f t="shared" si="586"/>
        <v>35.929484825564089</v>
      </c>
      <c r="AA302" s="81">
        <f t="shared" si="605"/>
        <v>36.05279602665744</v>
      </c>
      <c r="AB302" s="81">
        <f t="shared" si="587"/>
        <v>35.929484825564089</v>
      </c>
      <c r="AC302" s="81">
        <f t="shared" si="588"/>
        <v>0</v>
      </c>
      <c r="AD302" s="81">
        <f t="shared" si="588"/>
        <v>0</v>
      </c>
      <c r="AE302" s="81">
        <f t="shared" si="588"/>
        <v>0</v>
      </c>
      <c r="AF302" s="81">
        <f t="shared" si="606"/>
        <v>0</v>
      </c>
      <c r="AG302" s="81">
        <f t="shared" si="607"/>
        <v>36.05279602665744</v>
      </c>
      <c r="AH302" s="81">
        <f t="shared" si="589"/>
        <v>35.929484825564089</v>
      </c>
      <c r="AI302" s="82">
        <f t="shared" si="608"/>
        <v>36.05279602665744</v>
      </c>
      <c r="AJ302" s="82">
        <f t="shared" si="590"/>
        <v>35.929484825564089</v>
      </c>
      <c r="AK302" s="82">
        <f t="shared" si="591"/>
        <v>0</v>
      </c>
      <c r="AL302" s="82">
        <f t="shared" si="591"/>
        <v>0</v>
      </c>
      <c r="AM302" s="82">
        <f t="shared" si="591"/>
        <v>0</v>
      </c>
      <c r="AN302" s="82">
        <f t="shared" si="609"/>
        <v>0</v>
      </c>
      <c r="AO302" s="82">
        <f t="shared" si="610"/>
        <v>36.05279602665744</v>
      </c>
      <c r="AP302" s="82">
        <f t="shared" si="592"/>
        <v>35.929484825564089</v>
      </c>
      <c r="AQ302" s="83">
        <f t="shared" si="611"/>
        <v>36.05279602665744</v>
      </c>
      <c r="AR302" s="83">
        <f t="shared" si="593"/>
        <v>35.929484825564089</v>
      </c>
      <c r="AS302" s="83">
        <f t="shared" si="594"/>
        <v>0</v>
      </c>
      <c r="AT302" s="83">
        <f t="shared" si="594"/>
        <v>0</v>
      </c>
      <c r="AU302" s="83">
        <f t="shared" si="594"/>
        <v>0</v>
      </c>
      <c r="AV302" s="83">
        <f t="shared" si="612"/>
        <v>0</v>
      </c>
      <c r="AW302" s="83">
        <f t="shared" si="613"/>
        <v>36.05279602665744</v>
      </c>
      <c r="AX302" s="83">
        <f t="shared" si="595"/>
        <v>35.929484825564089</v>
      </c>
    </row>
    <row r="303" spans="2:50" x14ac:dyDescent="0.35">
      <c r="B303" s="7" t="s">
        <v>144</v>
      </c>
      <c r="C303" s="78">
        <f t="shared" si="596"/>
        <v>34.464372892342986</v>
      </c>
      <c r="D303" s="78">
        <f t="shared" si="596"/>
        <v>34.464372892342986</v>
      </c>
      <c r="E303" s="78">
        <f t="shared" si="596"/>
        <v>6.2505032229999999</v>
      </c>
      <c r="F303" s="78">
        <f t="shared" si="596"/>
        <v>6.1645116592310636</v>
      </c>
      <c r="G303" s="78">
        <f t="shared" si="596"/>
        <v>0.43464944900000002</v>
      </c>
      <c r="H303" s="78">
        <f t="shared" si="597"/>
        <v>0.43464944900000002</v>
      </c>
      <c r="I303" s="78">
        <f t="shared" si="598"/>
        <v>40.28022666634299</v>
      </c>
      <c r="J303" s="78">
        <f t="shared" si="580"/>
        <v>40.194235102574048</v>
      </c>
      <c r="K303" s="79">
        <f t="shared" si="599"/>
        <v>40.28022666634299</v>
      </c>
      <c r="L303" s="79">
        <f t="shared" si="581"/>
        <v>40.194235102574048</v>
      </c>
      <c r="M303" s="79">
        <f t="shared" si="582"/>
        <v>3.5287529030000004</v>
      </c>
      <c r="N303" s="79">
        <f t="shared" si="582"/>
        <v>3.292796500757293</v>
      </c>
      <c r="O303" s="79">
        <f t="shared" si="582"/>
        <v>5.7177600000000002E-2</v>
      </c>
      <c r="P303" s="79">
        <f t="shared" si="600"/>
        <v>5.7177600000000002E-2</v>
      </c>
      <c r="Q303" s="79">
        <f t="shared" si="601"/>
        <v>43.751801969342985</v>
      </c>
      <c r="R303" s="79">
        <f t="shared" si="583"/>
        <v>43.429854003331336</v>
      </c>
      <c r="S303" s="80">
        <f t="shared" si="602"/>
        <v>43.751801969342985</v>
      </c>
      <c r="T303" s="80">
        <f t="shared" si="584"/>
        <v>43.429854003331336</v>
      </c>
      <c r="U303" s="80">
        <f t="shared" si="585"/>
        <v>3.0071637540000005</v>
      </c>
      <c r="V303" s="80">
        <f t="shared" si="585"/>
        <v>2.9185325713014594</v>
      </c>
      <c r="W303" s="80">
        <f t="shared" si="585"/>
        <v>0</v>
      </c>
      <c r="X303" s="80">
        <f t="shared" si="603"/>
        <v>0</v>
      </c>
      <c r="Y303" s="80">
        <f t="shared" si="604"/>
        <v>46.758965723342982</v>
      </c>
      <c r="Z303" s="80">
        <f t="shared" si="586"/>
        <v>46.348386574632798</v>
      </c>
      <c r="AA303" s="81">
        <f t="shared" si="605"/>
        <v>46.758965723342982</v>
      </c>
      <c r="AB303" s="81">
        <f t="shared" si="587"/>
        <v>46.348386574632798</v>
      </c>
      <c r="AC303" s="81">
        <f t="shared" si="588"/>
        <v>0</v>
      </c>
      <c r="AD303" s="81">
        <f t="shared" si="588"/>
        <v>0</v>
      </c>
      <c r="AE303" s="81">
        <f t="shared" si="588"/>
        <v>0</v>
      </c>
      <c r="AF303" s="81">
        <f t="shared" si="606"/>
        <v>0</v>
      </c>
      <c r="AG303" s="81">
        <f t="shared" si="607"/>
        <v>46.758965723342982</v>
      </c>
      <c r="AH303" s="81">
        <f t="shared" si="589"/>
        <v>46.348386574632798</v>
      </c>
      <c r="AI303" s="82">
        <f t="shared" si="608"/>
        <v>46.758965723342982</v>
      </c>
      <c r="AJ303" s="82">
        <f t="shared" si="590"/>
        <v>46.348386574632798</v>
      </c>
      <c r="AK303" s="82">
        <f t="shared" si="591"/>
        <v>0</v>
      </c>
      <c r="AL303" s="82">
        <f t="shared" si="591"/>
        <v>0</v>
      </c>
      <c r="AM303" s="82">
        <f t="shared" si="591"/>
        <v>0</v>
      </c>
      <c r="AN303" s="82">
        <f t="shared" si="609"/>
        <v>0</v>
      </c>
      <c r="AO303" s="82">
        <f t="shared" si="610"/>
        <v>46.758965723342982</v>
      </c>
      <c r="AP303" s="82">
        <f t="shared" si="592"/>
        <v>46.348386574632798</v>
      </c>
      <c r="AQ303" s="83">
        <f t="shared" si="611"/>
        <v>46.758965723342982</v>
      </c>
      <c r="AR303" s="83">
        <f t="shared" si="593"/>
        <v>46.348386574632798</v>
      </c>
      <c r="AS303" s="83">
        <f t="shared" si="594"/>
        <v>0</v>
      </c>
      <c r="AT303" s="83">
        <f t="shared" si="594"/>
        <v>0</v>
      </c>
      <c r="AU303" s="83">
        <f t="shared" si="594"/>
        <v>0</v>
      </c>
      <c r="AV303" s="83">
        <f t="shared" si="612"/>
        <v>0</v>
      </c>
      <c r="AW303" s="83">
        <f t="shared" si="613"/>
        <v>46.758965723342982</v>
      </c>
      <c r="AX303" s="83">
        <f t="shared" si="595"/>
        <v>46.348386574632798</v>
      </c>
    </row>
    <row r="304" spans="2:50" x14ac:dyDescent="0.35">
      <c r="B304" s="7" t="s">
        <v>145</v>
      </c>
      <c r="C304" s="78">
        <f t="shared" si="596"/>
        <v>0</v>
      </c>
      <c r="D304" s="78">
        <f t="shared" si="596"/>
        <v>0</v>
      </c>
      <c r="E304" s="78">
        <f t="shared" si="596"/>
        <v>0</v>
      </c>
      <c r="F304" s="78">
        <f t="shared" si="596"/>
        <v>0</v>
      </c>
      <c r="G304" s="78">
        <f t="shared" si="596"/>
        <v>0</v>
      </c>
      <c r="H304" s="78">
        <f t="shared" si="597"/>
        <v>0</v>
      </c>
      <c r="I304" s="78">
        <f t="shared" si="598"/>
        <v>0</v>
      </c>
      <c r="J304" s="78">
        <f t="shared" si="580"/>
        <v>0</v>
      </c>
      <c r="K304" s="79">
        <f t="shared" si="599"/>
        <v>0</v>
      </c>
      <c r="L304" s="79">
        <f t="shared" si="581"/>
        <v>0</v>
      </c>
      <c r="M304" s="79">
        <f t="shared" si="582"/>
        <v>0</v>
      </c>
      <c r="N304" s="79">
        <f t="shared" si="582"/>
        <v>0</v>
      </c>
      <c r="O304" s="79">
        <f t="shared" si="582"/>
        <v>0</v>
      </c>
      <c r="P304" s="79">
        <f t="shared" si="600"/>
        <v>0</v>
      </c>
      <c r="Q304" s="79">
        <f t="shared" si="601"/>
        <v>0</v>
      </c>
      <c r="R304" s="79">
        <f t="shared" si="583"/>
        <v>0</v>
      </c>
      <c r="S304" s="80">
        <f t="shared" si="602"/>
        <v>0</v>
      </c>
      <c r="T304" s="80">
        <f t="shared" si="584"/>
        <v>0</v>
      </c>
      <c r="U304" s="80">
        <f t="shared" si="585"/>
        <v>0</v>
      </c>
      <c r="V304" s="80">
        <f t="shared" si="585"/>
        <v>0</v>
      </c>
      <c r="W304" s="80">
        <f t="shared" si="585"/>
        <v>0</v>
      </c>
      <c r="X304" s="80">
        <f t="shared" si="603"/>
        <v>0</v>
      </c>
      <c r="Y304" s="80">
        <f t="shared" si="604"/>
        <v>0</v>
      </c>
      <c r="Z304" s="80">
        <f t="shared" si="586"/>
        <v>0</v>
      </c>
      <c r="AA304" s="81">
        <f t="shared" si="605"/>
        <v>0</v>
      </c>
      <c r="AB304" s="81">
        <f t="shared" si="587"/>
        <v>0</v>
      </c>
      <c r="AC304" s="81">
        <f t="shared" si="588"/>
        <v>0</v>
      </c>
      <c r="AD304" s="81">
        <f t="shared" si="588"/>
        <v>0</v>
      </c>
      <c r="AE304" s="81">
        <f t="shared" si="588"/>
        <v>0</v>
      </c>
      <c r="AF304" s="81">
        <f t="shared" si="606"/>
        <v>0</v>
      </c>
      <c r="AG304" s="81">
        <f t="shared" si="607"/>
        <v>0</v>
      </c>
      <c r="AH304" s="81">
        <f t="shared" si="589"/>
        <v>0</v>
      </c>
      <c r="AI304" s="82">
        <f t="shared" si="608"/>
        <v>0</v>
      </c>
      <c r="AJ304" s="82">
        <f t="shared" si="590"/>
        <v>0</v>
      </c>
      <c r="AK304" s="82">
        <f t="shared" si="591"/>
        <v>0</v>
      </c>
      <c r="AL304" s="82">
        <f t="shared" si="591"/>
        <v>0</v>
      </c>
      <c r="AM304" s="82">
        <f t="shared" si="591"/>
        <v>0</v>
      </c>
      <c r="AN304" s="82">
        <f t="shared" si="609"/>
        <v>0</v>
      </c>
      <c r="AO304" s="82">
        <f t="shared" si="610"/>
        <v>0</v>
      </c>
      <c r="AP304" s="82">
        <f t="shared" si="592"/>
        <v>0</v>
      </c>
      <c r="AQ304" s="83">
        <f t="shared" si="611"/>
        <v>0</v>
      </c>
      <c r="AR304" s="83">
        <f t="shared" si="593"/>
        <v>0</v>
      </c>
      <c r="AS304" s="83">
        <f t="shared" si="594"/>
        <v>0</v>
      </c>
      <c r="AT304" s="83">
        <f t="shared" si="594"/>
        <v>0</v>
      </c>
      <c r="AU304" s="83">
        <f t="shared" si="594"/>
        <v>0</v>
      </c>
      <c r="AV304" s="83">
        <f t="shared" si="612"/>
        <v>0</v>
      </c>
      <c r="AW304" s="83">
        <f t="shared" si="613"/>
        <v>0</v>
      </c>
      <c r="AX304" s="83">
        <f t="shared" si="595"/>
        <v>0</v>
      </c>
    </row>
    <row r="305" spans="2:50" x14ac:dyDescent="0.35">
      <c r="B305" s="7" t="s">
        <v>146</v>
      </c>
      <c r="C305" s="78">
        <f t="shared" si="596"/>
        <v>0</v>
      </c>
      <c r="D305" s="78">
        <f t="shared" si="596"/>
        <v>0</v>
      </c>
      <c r="E305" s="78">
        <f t="shared" si="596"/>
        <v>0.283202607</v>
      </c>
      <c r="F305" s="78">
        <f t="shared" si="596"/>
        <v>0.28325509423447198</v>
      </c>
      <c r="G305" s="78">
        <f t="shared" si="596"/>
        <v>0</v>
      </c>
      <c r="H305" s="78">
        <f t="shared" si="597"/>
        <v>0</v>
      </c>
      <c r="I305" s="78">
        <f t="shared" si="598"/>
        <v>0.283202607</v>
      </c>
      <c r="J305" s="78">
        <f t="shared" si="580"/>
        <v>0.28325509423447198</v>
      </c>
      <c r="K305" s="79">
        <f t="shared" si="599"/>
        <v>0.283202607</v>
      </c>
      <c r="L305" s="79">
        <f t="shared" si="581"/>
        <v>0.28325509423447198</v>
      </c>
      <c r="M305" s="79">
        <f t="shared" si="582"/>
        <v>1.0811725779999999</v>
      </c>
      <c r="N305" s="79">
        <f t="shared" si="582"/>
        <v>1.0673758394211361</v>
      </c>
      <c r="O305" s="79">
        <f t="shared" si="582"/>
        <v>0.78635466700000001</v>
      </c>
      <c r="P305" s="79">
        <f t="shared" si="600"/>
        <v>0.78635466700000001</v>
      </c>
      <c r="Q305" s="79">
        <f t="shared" si="601"/>
        <v>0.57802051799999987</v>
      </c>
      <c r="R305" s="79">
        <f t="shared" si="583"/>
        <v>0.56427626665560815</v>
      </c>
      <c r="S305" s="80">
        <f t="shared" si="602"/>
        <v>0.57802051799999987</v>
      </c>
      <c r="T305" s="80">
        <f t="shared" si="584"/>
        <v>0.56427626665560815</v>
      </c>
      <c r="U305" s="80">
        <f t="shared" si="585"/>
        <v>1.00692523</v>
      </c>
      <c r="V305" s="80">
        <f t="shared" si="585"/>
        <v>0.98978039830581277</v>
      </c>
      <c r="W305" s="80">
        <f t="shared" si="585"/>
        <v>0.26301750000000002</v>
      </c>
      <c r="X305" s="80">
        <f t="shared" si="603"/>
        <v>0.26301750000000002</v>
      </c>
      <c r="Y305" s="80">
        <f t="shared" si="604"/>
        <v>1.3219282479999999</v>
      </c>
      <c r="Z305" s="80">
        <f t="shared" si="586"/>
        <v>1.291039164961421</v>
      </c>
      <c r="AA305" s="81">
        <f t="shared" si="605"/>
        <v>1.3219282479999999</v>
      </c>
      <c r="AB305" s="81">
        <f t="shared" si="587"/>
        <v>1.291039164961421</v>
      </c>
      <c r="AC305" s="81">
        <f t="shared" si="588"/>
        <v>0</v>
      </c>
      <c r="AD305" s="81">
        <f t="shared" si="588"/>
        <v>0</v>
      </c>
      <c r="AE305" s="81">
        <f t="shared" si="588"/>
        <v>0</v>
      </c>
      <c r="AF305" s="81">
        <f t="shared" si="606"/>
        <v>0</v>
      </c>
      <c r="AG305" s="81">
        <f t="shared" si="607"/>
        <v>1.3219282479999999</v>
      </c>
      <c r="AH305" s="81">
        <f t="shared" si="589"/>
        <v>1.291039164961421</v>
      </c>
      <c r="AI305" s="82">
        <f t="shared" si="608"/>
        <v>1.3219282479999999</v>
      </c>
      <c r="AJ305" s="82">
        <f t="shared" si="590"/>
        <v>1.291039164961421</v>
      </c>
      <c r="AK305" s="82">
        <f t="shared" si="591"/>
        <v>0</v>
      </c>
      <c r="AL305" s="82">
        <f t="shared" si="591"/>
        <v>0</v>
      </c>
      <c r="AM305" s="82">
        <f t="shared" si="591"/>
        <v>0</v>
      </c>
      <c r="AN305" s="82">
        <f t="shared" si="609"/>
        <v>0</v>
      </c>
      <c r="AO305" s="82">
        <f t="shared" si="610"/>
        <v>1.3219282479999999</v>
      </c>
      <c r="AP305" s="82">
        <f t="shared" si="592"/>
        <v>1.291039164961421</v>
      </c>
      <c r="AQ305" s="83">
        <f t="shared" si="611"/>
        <v>1.3219282479999999</v>
      </c>
      <c r="AR305" s="83">
        <f t="shared" si="593"/>
        <v>1.291039164961421</v>
      </c>
      <c r="AS305" s="83">
        <f t="shared" si="594"/>
        <v>0</v>
      </c>
      <c r="AT305" s="83">
        <f t="shared" si="594"/>
        <v>0</v>
      </c>
      <c r="AU305" s="83">
        <f t="shared" si="594"/>
        <v>0</v>
      </c>
      <c r="AV305" s="83">
        <f t="shared" si="612"/>
        <v>0</v>
      </c>
      <c r="AW305" s="83">
        <f t="shared" si="613"/>
        <v>1.3219282479999999</v>
      </c>
      <c r="AX305" s="83">
        <f t="shared" si="595"/>
        <v>1.291039164961421</v>
      </c>
    </row>
    <row r="306" spans="2:50" x14ac:dyDescent="0.35">
      <c r="B306" s="7" t="s">
        <v>147</v>
      </c>
      <c r="C306" s="78">
        <f t="shared" si="596"/>
        <v>0</v>
      </c>
      <c r="D306" s="78">
        <f t="shared" si="596"/>
        <v>0</v>
      </c>
      <c r="E306" s="78">
        <f t="shared" si="596"/>
        <v>0.22213000399999999</v>
      </c>
      <c r="F306" s="78">
        <f t="shared" si="596"/>
        <v>0.22087123845079637</v>
      </c>
      <c r="G306" s="78">
        <f t="shared" si="596"/>
        <v>0.20921480000000001</v>
      </c>
      <c r="H306" s="78">
        <f t="shared" si="597"/>
        <v>0.20921480000000001</v>
      </c>
      <c r="I306" s="78">
        <f t="shared" si="598"/>
        <v>1.2915203999999986E-2</v>
      </c>
      <c r="J306" s="78">
        <f t="shared" si="580"/>
        <v>1.1656438450796364E-2</v>
      </c>
      <c r="K306" s="79">
        <f t="shared" si="599"/>
        <v>1.2915203999999986E-2</v>
      </c>
      <c r="L306" s="79">
        <f t="shared" si="581"/>
        <v>1.1656438450796364E-2</v>
      </c>
      <c r="M306" s="79">
        <f t="shared" si="582"/>
        <v>0.112043974</v>
      </c>
      <c r="N306" s="79">
        <f t="shared" si="582"/>
        <v>0.11204825535086731</v>
      </c>
      <c r="O306" s="79">
        <f t="shared" si="582"/>
        <v>0.20516000000000001</v>
      </c>
      <c r="P306" s="79">
        <f t="shared" si="600"/>
        <v>0.20516000000000001</v>
      </c>
      <c r="Q306" s="79">
        <f t="shared" si="601"/>
        <v>-8.0200822000000019E-2</v>
      </c>
      <c r="R306" s="79">
        <f t="shared" si="583"/>
        <v>-8.1455306198336339E-2</v>
      </c>
      <c r="S306" s="80">
        <f t="shared" si="602"/>
        <v>-8.0200822000000019E-2</v>
      </c>
      <c r="T306" s="80">
        <f t="shared" si="584"/>
        <v>-8.1455306198336339E-2</v>
      </c>
      <c r="U306" s="80">
        <f t="shared" si="585"/>
        <v>1.30989E-2</v>
      </c>
      <c r="V306" s="80">
        <f t="shared" si="585"/>
        <v>1.2302536663739264E-2</v>
      </c>
      <c r="W306" s="80">
        <f t="shared" si="585"/>
        <v>0</v>
      </c>
      <c r="X306" s="80">
        <f t="shared" si="603"/>
        <v>0</v>
      </c>
      <c r="Y306" s="80">
        <f t="shared" si="604"/>
        <v>-6.7101922000000022E-2</v>
      </c>
      <c r="Z306" s="80">
        <f t="shared" si="586"/>
        <v>-6.9152769534597078E-2</v>
      </c>
      <c r="AA306" s="81">
        <f t="shared" si="605"/>
        <v>-6.7101922000000022E-2</v>
      </c>
      <c r="AB306" s="81">
        <f t="shared" si="587"/>
        <v>-6.9152769534597078E-2</v>
      </c>
      <c r="AC306" s="81">
        <f t="shared" si="588"/>
        <v>0</v>
      </c>
      <c r="AD306" s="81">
        <f t="shared" si="588"/>
        <v>0</v>
      </c>
      <c r="AE306" s="81">
        <f t="shared" si="588"/>
        <v>0</v>
      </c>
      <c r="AF306" s="81">
        <f t="shared" si="606"/>
        <v>0</v>
      </c>
      <c r="AG306" s="81">
        <f t="shared" si="607"/>
        <v>-6.7101922000000022E-2</v>
      </c>
      <c r="AH306" s="81">
        <f t="shared" si="589"/>
        <v>-6.9152769534597078E-2</v>
      </c>
      <c r="AI306" s="82">
        <f t="shared" si="608"/>
        <v>-6.7101922000000022E-2</v>
      </c>
      <c r="AJ306" s="82">
        <f t="shared" si="590"/>
        <v>-6.9152769534597078E-2</v>
      </c>
      <c r="AK306" s="82">
        <f t="shared" si="591"/>
        <v>0</v>
      </c>
      <c r="AL306" s="82">
        <f t="shared" si="591"/>
        <v>0</v>
      </c>
      <c r="AM306" s="82">
        <f t="shared" si="591"/>
        <v>0</v>
      </c>
      <c r="AN306" s="82">
        <f t="shared" si="609"/>
        <v>0</v>
      </c>
      <c r="AO306" s="82">
        <f t="shared" si="610"/>
        <v>-6.7101922000000022E-2</v>
      </c>
      <c r="AP306" s="82">
        <f t="shared" si="592"/>
        <v>-6.9152769534597078E-2</v>
      </c>
      <c r="AQ306" s="83">
        <f t="shared" si="611"/>
        <v>-6.7101922000000022E-2</v>
      </c>
      <c r="AR306" s="83">
        <f t="shared" si="593"/>
        <v>-6.9152769534597078E-2</v>
      </c>
      <c r="AS306" s="83">
        <f t="shared" si="594"/>
        <v>0</v>
      </c>
      <c r="AT306" s="83">
        <f t="shared" si="594"/>
        <v>0</v>
      </c>
      <c r="AU306" s="83">
        <f t="shared" si="594"/>
        <v>0</v>
      </c>
      <c r="AV306" s="83">
        <f t="shared" si="612"/>
        <v>0</v>
      </c>
      <c r="AW306" s="83">
        <f t="shared" si="613"/>
        <v>-6.7101922000000022E-2</v>
      </c>
      <c r="AX306" s="83">
        <f t="shared" si="595"/>
        <v>-6.9152769534597078E-2</v>
      </c>
    </row>
    <row r="307" spans="2:50" x14ac:dyDescent="0.35">
      <c r="B307" s="7" t="s">
        <v>148</v>
      </c>
      <c r="C307" s="78">
        <f t="shared" si="596"/>
        <v>86.417194532576957</v>
      </c>
      <c r="D307" s="78">
        <f t="shared" si="596"/>
        <v>86.417194532576957</v>
      </c>
      <c r="E307" s="78">
        <f t="shared" si="596"/>
        <v>0</v>
      </c>
      <c r="F307" s="78">
        <f t="shared" si="596"/>
        <v>0</v>
      </c>
      <c r="G307" s="78">
        <f t="shared" si="596"/>
        <v>0</v>
      </c>
      <c r="H307" s="78">
        <f t="shared" si="597"/>
        <v>0</v>
      </c>
      <c r="I307" s="78">
        <f t="shared" si="598"/>
        <v>86.417194532576957</v>
      </c>
      <c r="J307" s="78">
        <f t="shared" si="580"/>
        <v>86.417194532576957</v>
      </c>
      <c r="K307" s="79">
        <f t="shared" si="599"/>
        <v>86.417194532576957</v>
      </c>
      <c r="L307" s="79">
        <f t="shared" si="581"/>
        <v>86.417194532576957</v>
      </c>
      <c r="M307" s="79">
        <f t="shared" si="582"/>
        <v>0</v>
      </c>
      <c r="N307" s="79">
        <f t="shared" si="582"/>
        <v>0</v>
      </c>
      <c r="O307" s="79">
        <f t="shared" si="582"/>
        <v>0</v>
      </c>
      <c r="P307" s="79">
        <f t="shared" si="600"/>
        <v>0</v>
      </c>
      <c r="Q307" s="79">
        <f t="shared" si="601"/>
        <v>86.417194532576957</v>
      </c>
      <c r="R307" s="79">
        <f t="shared" si="583"/>
        <v>86.417194532576957</v>
      </c>
      <c r="S307" s="80">
        <f t="shared" si="602"/>
        <v>86.417194532576957</v>
      </c>
      <c r="T307" s="80">
        <f t="shared" si="584"/>
        <v>86.417194532576957</v>
      </c>
      <c r="U307" s="80">
        <f t="shared" si="585"/>
        <v>0</v>
      </c>
      <c r="V307" s="80">
        <f t="shared" si="585"/>
        <v>0</v>
      </c>
      <c r="W307" s="80">
        <f t="shared" si="585"/>
        <v>0</v>
      </c>
      <c r="X307" s="80">
        <f t="shared" si="603"/>
        <v>0</v>
      </c>
      <c r="Y307" s="80">
        <f t="shared" si="604"/>
        <v>86.417194532576957</v>
      </c>
      <c r="Z307" s="80">
        <f t="shared" si="586"/>
        <v>86.417194532576957</v>
      </c>
      <c r="AA307" s="81">
        <f t="shared" si="605"/>
        <v>86.417194532576957</v>
      </c>
      <c r="AB307" s="81">
        <f t="shared" si="587"/>
        <v>86.417194532576957</v>
      </c>
      <c r="AC307" s="81">
        <f t="shared" si="588"/>
        <v>0</v>
      </c>
      <c r="AD307" s="81">
        <f t="shared" si="588"/>
        <v>0</v>
      </c>
      <c r="AE307" s="81">
        <f t="shared" si="588"/>
        <v>0</v>
      </c>
      <c r="AF307" s="81">
        <f t="shared" si="606"/>
        <v>0</v>
      </c>
      <c r="AG307" s="81">
        <f t="shared" si="607"/>
        <v>86.417194532576957</v>
      </c>
      <c r="AH307" s="81">
        <f t="shared" si="589"/>
        <v>86.417194532576957</v>
      </c>
      <c r="AI307" s="82">
        <f t="shared" si="608"/>
        <v>86.417194532576957</v>
      </c>
      <c r="AJ307" s="82">
        <f t="shared" si="590"/>
        <v>86.417194532576957</v>
      </c>
      <c r="AK307" s="82">
        <f t="shared" si="591"/>
        <v>0</v>
      </c>
      <c r="AL307" s="82">
        <f t="shared" si="591"/>
        <v>0</v>
      </c>
      <c r="AM307" s="82">
        <f t="shared" si="591"/>
        <v>0</v>
      </c>
      <c r="AN307" s="82">
        <f t="shared" si="609"/>
        <v>0</v>
      </c>
      <c r="AO307" s="82">
        <f t="shared" si="610"/>
        <v>86.417194532576957</v>
      </c>
      <c r="AP307" s="82">
        <f t="shared" si="592"/>
        <v>86.417194532576957</v>
      </c>
      <c r="AQ307" s="83">
        <f t="shared" si="611"/>
        <v>86.417194532576957</v>
      </c>
      <c r="AR307" s="83">
        <f t="shared" si="593"/>
        <v>86.417194532576957</v>
      </c>
      <c r="AS307" s="83">
        <f t="shared" si="594"/>
        <v>0</v>
      </c>
      <c r="AT307" s="83">
        <f t="shared" si="594"/>
        <v>0</v>
      </c>
      <c r="AU307" s="83">
        <f t="shared" si="594"/>
        <v>0</v>
      </c>
      <c r="AV307" s="83">
        <f t="shared" si="612"/>
        <v>0</v>
      </c>
      <c r="AW307" s="83">
        <f t="shared" si="613"/>
        <v>86.417194532576957</v>
      </c>
      <c r="AX307" s="83">
        <f t="shared" si="595"/>
        <v>86.417194532576957</v>
      </c>
    </row>
    <row r="308" spans="2:50" ht="31" x14ac:dyDescent="0.35">
      <c r="B308" s="84" t="s">
        <v>149</v>
      </c>
      <c r="C308" s="78">
        <f t="shared" si="596"/>
        <v>0</v>
      </c>
      <c r="D308" s="78">
        <f t="shared" si="596"/>
        <v>0</v>
      </c>
      <c r="E308" s="78">
        <f t="shared" si="596"/>
        <v>0</v>
      </c>
      <c r="F308" s="78">
        <f t="shared" si="596"/>
        <v>0</v>
      </c>
      <c r="G308" s="78">
        <f t="shared" si="596"/>
        <v>0</v>
      </c>
      <c r="H308" s="78">
        <f t="shared" si="597"/>
        <v>0</v>
      </c>
      <c r="I308" s="78">
        <f t="shared" si="598"/>
        <v>0</v>
      </c>
      <c r="J308" s="78">
        <f t="shared" si="580"/>
        <v>0</v>
      </c>
      <c r="K308" s="79">
        <f t="shared" si="599"/>
        <v>0</v>
      </c>
      <c r="L308" s="79">
        <f t="shared" si="581"/>
        <v>0</v>
      </c>
      <c r="M308" s="79">
        <f t="shared" ref="M308:O308" si="614">M23+M42+M61+M80+M99+M118+M137+M156+M175+M194+M213+M232+M251+M270+M289</f>
        <v>0</v>
      </c>
      <c r="N308" s="79">
        <f t="shared" si="614"/>
        <v>0</v>
      </c>
      <c r="O308" s="79">
        <f t="shared" si="614"/>
        <v>0</v>
      </c>
      <c r="P308" s="79">
        <f t="shared" si="600"/>
        <v>0</v>
      </c>
      <c r="Q308" s="79">
        <f t="shared" si="601"/>
        <v>0</v>
      </c>
      <c r="R308" s="79">
        <f t="shared" si="583"/>
        <v>0</v>
      </c>
      <c r="S308" s="80">
        <f t="shared" si="602"/>
        <v>0</v>
      </c>
      <c r="T308" s="80">
        <f t="shared" si="584"/>
        <v>0</v>
      </c>
      <c r="U308" s="80">
        <f t="shared" ref="U308:W308" si="615">U23+U42+U61+U80+U99+U118+U137+U156+U175+U194+U213+U232+U251+U270+U289</f>
        <v>0</v>
      </c>
      <c r="V308" s="80">
        <f t="shared" si="615"/>
        <v>0</v>
      </c>
      <c r="W308" s="80">
        <f t="shared" si="615"/>
        <v>0</v>
      </c>
      <c r="X308" s="80">
        <f t="shared" si="603"/>
        <v>0</v>
      </c>
      <c r="Y308" s="80">
        <f t="shared" si="604"/>
        <v>0</v>
      </c>
      <c r="Z308" s="80">
        <f t="shared" si="586"/>
        <v>0</v>
      </c>
      <c r="AA308" s="81">
        <f t="shared" si="605"/>
        <v>0</v>
      </c>
      <c r="AB308" s="81">
        <f t="shared" si="587"/>
        <v>0</v>
      </c>
      <c r="AC308" s="81">
        <f t="shared" ref="AC308:AE308" si="616">AC23+AC42+AC61+AC80+AC99+AC118+AC137+AC156+AC175+AC194+AC213+AC232+AC251+AC270+AC289</f>
        <v>0</v>
      </c>
      <c r="AD308" s="81">
        <f t="shared" si="616"/>
        <v>0</v>
      </c>
      <c r="AE308" s="81">
        <f t="shared" si="616"/>
        <v>0</v>
      </c>
      <c r="AF308" s="81">
        <f t="shared" si="606"/>
        <v>0</v>
      </c>
      <c r="AG308" s="81">
        <f t="shared" si="607"/>
        <v>0</v>
      </c>
      <c r="AH308" s="81">
        <f t="shared" si="589"/>
        <v>0</v>
      </c>
      <c r="AI308" s="82">
        <f t="shared" si="608"/>
        <v>0</v>
      </c>
      <c r="AJ308" s="82">
        <f t="shared" si="590"/>
        <v>0</v>
      </c>
      <c r="AK308" s="82">
        <f t="shared" ref="AK308:AM308" si="617">AK23+AK42+AK61+AK80+AK99+AK118+AK137+AK156+AK175+AK194+AK213+AK232+AK251+AK270+AK289</f>
        <v>0</v>
      </c>
      <c r="AL308" s="82">
        <f t="shared" si="617"/>
        <v>0</v>
      </c>
      <c r="AM308" s="82">
        <f t="shared" si="617"/>
        <v>0</v>
      </c>
      <c r="AN308" s="82">
        <f t="shared" si="609"/>
        <v>0</v>
      </c>
      <c r="AO308" s="82">
        <f t="shared" si="610"/>
        <v>0</v>
      </c>
      <c r="AP308" s="82">
        <f t="shared" si="592"/>
        <v>0</v>
      </c>
      <c r="AQ308" s="83">
        <f t="shared" si="611"/>
        <v>0</v>
      </c>
      <c r="AR308" s="83">
        <f t="shared" si="593"/>
        <v>0</v>
      </c>
      <c r="AS308" s="83">
        <f t="shared" ref="AS308:AU308" si="618">AS23+AS42+AS61+AS80+AS99+AS118+AS137+AS156+AS175+AS194+AS213+AS232+AS251+AS270+AS289</f>
        <v>0</v>
      </c>
      <c r="AT308" s="83">
        <f t="shared" si="618"/>
        <v>0</v>
      </c>
      <c r="AU308" s="83">
        <f t="shared" si="618"/>
        <v>0</v>
      </c>
      <c r="AV308" s="83">
        <f t="shared" si="612"/>
        <v>0</v>
      </c>
      <c r="AW308" s="83">
        <f t="shared" si="613"/>
        <v>0</v>
      </c>
      <c r="AX308" s="83">
        <f t="shared" si="595"/>
        <v>0</v>
      </c>
    </row>
    <row r="309" spans="2:50" x14ac:dyDescent="0.35">
      <c r="B309" s="12" t="s">
        <v>27</v>
      </c>
      <c r="C309" s="85">
        <f>SUM(C292:C308)</f>
        <v>48040.580156764445</v>
      </c>
      <c r="D309" s="85">
        <f t="shared" ref="D309:AX309" si="619">SUM(D292:D308)</f>
        <v>47925.551887697533</v>
      </c>
      <c r="E309" s="85">
        <f t="shared" si="619"/>
        <v>590.51914025699989</v>
      </c>
      <c r="F309" s="85">
        <f t="shared" si="619"/>
        <v>588.55476578163439</v>
      </c>
      <c r="G309" s="85">
        <f t="shared" si="619"/>
        <v>24.018239556000001</v>
      </c>
      <c r="H309" s="85">
        <f t="shared" si="619"/>
        <v>24.018239556000001</v>
      </c>
      <c r="I309" s="85">
        <f t="shared" si="619"/>
        <v>48607.081057465461</v>
      </c>
      <c r="J309" s="85">
        <f t="shared" si="619"/>
        <v>48490.088413923171</v>
      </c>
      <c r="K309" s="86">
        <f t="shared" si="619"/>
        <v>48607.081057465461</v>
      </c>
      <c r="L309" s="86">
        <f t="shared" si="619"/>
        <v>48490.088413923171</v>
      </c>
      <c r="M309" s="86">
        <f t="shared" si="619"/>
        <v>577.71996863550009</v>
      </c>
      <c r="N309" s="86">
        <f t="shared" si="619"/>
        <v>569.66409269600001</v>
      </c>
      <c r="O309" s="86">
        <f t="shared" si="619"/>
        <v>8.7016486929999992</v>
      </c>
      <c r="P309" s="86">
        <f t="shared" si="619"/>
        <v>8.7016486929999992</v>
      </c>
      <c r="Q309" s="86">
        <f t="shared" si="619"/>
        <v>49176.099377407947</v>
      </c>
      <c r="R309" s="86">
        <f t="shared" si="619"/>
        <v>49051.050857926173</v>
      </c>
      <c r="S309" s="87">
        <f t="shared" si="619"/>
        <v>49176.099377407947</v>
      </c>
      <c r="T309" s="87">
        <f t="shared" si="619"/>
        <v>49051.050857926173</v>
      </c>
      <c r="U309" s="87">
        <f t="shared" si="619"/>
        <v>1160.6884534203602</v>
      </c>
      <c r="V309" s="87">
        <f t="shared" si="619"/>
        <v>1124.0255099673611</v>
      </c>
      <c r="W309" s="87">
        <f t="shared" si="619"/>
        <v>155.92241694099999</v>
      </c>
      <c r="X309" s="87">
        <f t="shared" si="619"/>
        <v>155.92241694099999</v>
      </c>
      <c r="Y309" s="87">
        <f t="shared" si="619"/>
        <v>50180.865413887295</v>
      </c>
      <c r="Z309" s="87">
        <f t="shared" si="619"/>
        <v>50019.153950952525</v>
      </c>
      <c r="AA309" s="88">
        <f t="shared" si="619"/>
        <v>50180.865413887295</v>
      </c>
      <c r="AB309" s="88">
        <f t="shared" si="619"/>
        <v>50019.153950952525</v>
      </c>
      <c r="AC309" s="88">
        <f t="shared" si="619"/>
        <v>1188.6399999999999</v>
      </c>
      <c r="AD309" s="88">
        <f t="shared" si="619"/>
        <v>1118.6987553030001</v>
      </c>
      <c r="AE309" s="88">
        <f t="shared" si="619"/>
        <v>0</v>
      </c>
      <c r="AF309" s="88">
        <f t="shared" si="619"/>
        <v>0</v>
      </c>
      <c r="AG309" s="88">
        <f t="shared" si="619"/>
        <v>51369.505413887295</v>
      </c>
      <c r="AH309" s="88">
        <f t="shared" si="619"/>
        <v>51137.852706255522</v>
      </c>
      <c r="AI309" s="89">
        <f t="shared" si="619"/>
        <v>51369.505413887295</v>
      </c>
      <c r="AJ309" s="89">
        <f t="shared" si="619"/>
        <v>51137.852706255522</v>
      </c>
      <c r="AK309" s="89">
        <f t="shared" si="619"/>
        <v>2450.3700000000003</v>
      </c>
      <c r="AL309" s="89">
        <f t="shared" si="619"/>
        <v>1569.1590862956521</v>
      </c>
      <c r="AM309" s="89">
        <f t="shared" si="619"/>
        <v>0</v>
      </c>
      <c r="AN309" s="89">
        <f t="shared" si="619"/>
        <v>0</v>
      </c>
      <c r="AO309" s="89">
        <f t="shared" si="619"/>
        <v>53819.875413887305</v>
      </c>
      <c r="AP309" s="89">
        <f t="shared" si="619"/>
        <v>52707.011792551173</v>
      </c>
      <c r="AQ309" s="90">
        <f t="shared" si="619"/>
        <v>53819.875413887305</v>
      </c>
      <c r="AR309" s="90">
        <f t="shared" si="619"/>
        <v>52707.011792551173</v>
      </c>
      <c r="AS309" s="90">
        <f t="shared" si="619"/>
        <v>8329.010000000002</v>
      </c>
      <c r="AT309" s="90">
        <f t="shared" si="619"/>
        <v>3699.0619173588079</v>
      </c>
      <c r="AU309" s="90">
        <f t="shared" si="619"/>
        <v>0</v>
      </c>
      <c r="AV309" s="90">
        <f t="shared" si="619"/>
        <v>0</v>
      </c>
      <c r="AW309" s="90">
        <f t="shared" si="619"/>
        <v>62148.885413887299</v>
      </c>
      <c r="AX309" s="90">
        <f t="shared" si="619"/>
        <v>56406.073709909979</v>
      </c>
    </row>
    <row r="311" spans="2:50" x14ac:dyDescent="0.35">
      <c r="F311" s="94"/>
    </row>
  </sheetData>
  <mergeCells count="31">
    <mergeCell ref="AK4:AL4"/>
    <mergeCell ref="AO4:AP4"/>
    <mergeCell ref="AQ4:AR4"/>
    <mergeCell ref="AS4:AT4"/>
    <mergeCell ref="AU4:AV4"/>
    <mergeCell ref="AM4:AN4"/>
    <mergeCell ref="AQ3:AX3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AI3:AP3"/>
    <mergeCell ref="AC4:AD4"/>
    <mergeCell ref="AE4:AF4"/>
    <mergeCell ref="AG4:AH4"/>
    <mergeCell ref="AI4:AJ4"/>
    <mergeCell ref="AW4:AX4"/>
    <mergeCell ref="B3:B5"/>
    <mergeCell ref="C3:J3"/>
    <mergeCell ref="K3:R3"/>
    <mergeCell ref="S3:Z3"/>
    <mergeCell ref="AA3:AH3"/>
    <mergeCell ref="U4:V4"/>
    <mergeCell ref="W4:X4"/>
    <mergeCell ref="Y4:Z4"/>
    <mergeCell ref="AA4:AB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BX61"/>
  <sheetViews>
    <sheetView showGridLines="0" tabSelected="1" topLeftCell="A12" zoomScale="68" workbookViewId="0">
      <selection activeCell="E31" sqref="E31"/>
    </sheetView>
  </sheetViews>
  <sheetFormatPr defaultColWidth="9.1796875" defaultRowHeight="15.5" x14ac:dyDescent="0.35"/>
  <cols>
    <col min="1" max="1" width="10.1796875" style="5" bestFit="1" customWidth="1"/>
    <col min="2" max="2" width="28.453125" style="5" customWidth="1"/>
    <col min="3" max="3" width="11.26953125" style="5" customWidth="1"/>
    <col min="4" max="4" width="12.54296875" style="5" customWidth="1"/>
    <col min="5" max="6" width="11.81640625" style="5" customWidth="1"/>
    <col min="7" max="7" width="10.54296875" style="5" customWidth="1"/>
    <col min="8" max="8" width="11.81640625" style="5" customWidth="1"/>
    <col min="9" max="9" width="11.26953125" style="5" customWidth="1"/>
    <col min="10" max="10" width="10.54296875" style="5" customWidth="1"/>
    <col min="11" max="11" width="11.81640625" style="5" customWidth="1"/>
    <col min="12" max="12" width="9.1796875" style="5"/>
    <col min="13" max="13" width="9.1796875" style="95"/>
    <col min="14" max="14" width="9.1796875" style="5"/>
    <col min="15" max="15" width="28.453125" style="5" customWidth="1"/>
    <col min="16" max="16" width="11.26953125" style="5" customWidth="1"/>
    <col min="17" max="17" width="12.7265625" style="5" customWidth="1"/>
    <col min="18" max="18" width="11.81640625" style="5" customWidth="1"/>
    <col min="19" max="19" width="12.26953125" style="5" customWidth="1"/>
    <col min="20" max="20" width="10.54296875" style="5" customWidth="1"/>
    <col min="21" max="21" width="11.81640625" style="5" customWidth="1"/>
    <col min="22" max="22" width="11.26953125" style="5" customWidth="1"/>
    <col min="23" max="23" width="10.54296875" style="5" customWidth="1"/>
    <col min="24" max="24" width="11.81640625" style="5" customWidth="1"/>
    <col min="25" max="25" width="9.1796875" style="5"/>
    <col min="26" max="26" width="9.1796875" style="95"/>
    <col min="27" max="27" width="9.1796875" style="5"/>
    <col min="28" max="28" width="28.453125" style="5" customWidth="1"/>
    <col min="29" max="29" width="11.26953125" style="5" customWidth="1"/>
    <col min="30" max="31" width="11.81640625" style="5" customWidth="1"/>
    <col min="32" max="32" width="12.26953125" style="5" customWidth="1"/>
    <col min="33" max="33" width="10.54296875" style="5" customWidth="1"/>
    <col min="34" max="34" width="11.81640625" style="5" customWidth="1"/>
    <col min="35" max="35" width="11.26953125" style="5" customWidth="1"/>
    <col min="36" max="36" width="10.54296875" style="5" customWidth="1"/>
    <col min="37" max="37" width="11.81640625" style="5" customWidth="1"/>
    <col min="38" max="38" width="9.1796875" style="5"/>
    <col min="39" max="39" width="9.1796875" style="95"/>
    <col min="40" max="40" width="9.1796875" style="5"/>
    <col min="41" max="41" width="28.453125" style="5" customWidth="1"/>
    <col min="42" max="42" width="11.26953125" style="5" customWidth="1"/>
    <col min="43" max="43" width="10.54296875" style="5" customWidth="1"/>
    <col min="44" max="44" width="11.81640625" style="5" customWidth="1"/>
    <col min="45" max="45" width="11.26953125" style="5" customWidth="1"/>
    <col min="46" max="46" width="10.54296875" style="5" customWidth="1"/>
    <col min="47" max="47" width="11.81640625" style="5" customWidth="1"/>
    <col min="48" max="48" width="11.26953125" style="5" customWidth="1"/>
    <col min="49" max="49" width="10.54296875" style="5" customWidth="1"/>
    <col min="50" max="50" width="11.81640625" style="5" customWidth="1"/>
    <col min="51" max="51" width="9.1796875" style="5"/>
    <col min="52" max="52" width="9.1796875" style="95"/>
    <col min="53" max="53" width="9.1796875" style="5"/>
    <col min="54" max="54" width="28.453125" style="5" customWidth="1"/>
    <col min="55" max="55" width="11.26953125" style="5" customWidth="1"/>
    <col min="56" max="56" width="10.54296875" style="5" customWidth="1"/>
    <col min="57" max="57" width="11.81640625" style="5" customWidth="1"/>
    <col min="58" max="58" width="11.26953125" style="5" customWidth="1"/>
    <col min="59" max="59" width="10.54296875" style="5" customWidth="1"/>
    <col min="60" max="60" width="11.81640625" style="5" customWidth="1"/>
    <col min="61" max="61" width="11.26953125" style="5" customWidth="1"/>
    <col min="62" max="62" width="10.54296875" style="5" customWidth="1"/>
    <col min="63" max="63" width="11.81640625" style="5" customWidth="1"/>
    <col min="64" max="64" width="9.1796875" style="5"/>
    <col min="65" max="65" width="9.1796875" style="95"/>
    <col min="66" max="66" width="9.1796875" style="5"/>
    <col min="67" max="67" width="28.453125" style="5" customWidth="1"/>
    <col min="68" max="68" width="11.26953125" style="5" customWidth="1"/>
    <col min="69" max="69" width="10.54296875" style="5" customWidth="1"/>
    <col min="70" max="70" width="11.81640625" style="5" customWidth="1"/>
    <col min="71" max="71" width="11.26953125" style="5" customWidth="1"/>
    <col min="72" max="72" width="10.54296875" style="5" customWidth="1"/>
    <col min="73" max="73" width="11.81640625" style="5" customWidth="1"/>
    <col min="74" max="74" width="11.26953125" style="5" customWidth="1"/>
    <col min="75" max="75" width="10.54296875" style="5" customWidth="1"/>
    <col min="76" max="76" width="11.81640625" style="5" customWidth="1"/>
    <col min="77" max="16384" width="9.1796875" style="5"/>
  </cols>
  <sheetData>
    <row r="2" spans="2:76" x14ac:dyDescent="0.35">
      <c r="B2" s="3" t="s">
        <v>163</v>
      </c>
      <c r="K2" s="3" t="s">
        <v>164</v>
      </c>
      <c r="O2" s="3" t="s">
        <v>165</v>
      </c>
      <c r="X2" s="3" t="s">
        <v>164</v>
      </c>
      <c r="AB2" s="3" t="s">
        <v>166</v>
      </c>
      <c r="AK2" s="3" t="s">
        <v>164</v>
      </c>
      <c r="AO2" s="3" t="s">
        <v>167</v>
      </c>
      <c r="AX2" s="3" t="s">
        <v>164</v>
      </c>
      <c r="BB2" s="3" t="s">
        <v>168</v>
      </c>
      <c r="BK2" s="3" t="s">
        <v>164</v>
      </c>
      <c r="BO2" s="3" t="s">
        <v>169</v>
      </c>
      <c r="BX2" s="3" t="s">
        <v>164</v>
      </c>
    </row>
    <row r="3" spans="2:76" x14ac:dyDescent="0.35">
      <c r="B3" s="187" t="s">
        <v>170</v>
      </c>
      <c r="C3" s="187" t="s">
        <v>171</v>
      </c>
      <c r="D3" s="187"/>
      <c r="E3" s="187"/>
      <c r="F3" s="187" t="s">
        <v>131</v>
      </c>
      <c r="G3" s="187"/>
      <c r="H3" s="187"/>
      <c r="I3" s="187" t="s">
        <v>132</v>
      </c>
      <c r="J3" s="187"/>
      <c r="K3" s="187"/>
      <c r="O3" s="187" t="s">
        <v>170</v>
      </c>
      <c r="P3" s="187" t="s">
        <v>172</v>
      </c>
      <c r="Q3" s="187"/>
      <c r="R3" s="187"/>
      <c r="S3" s="187" t="s">
        <v>131</v>
      </c>
      <c r="T3" s="187"/>
      <c r="U3" s="187"/>
      <c r="V3" s="187" t="s">
        <v>132</v>
      </c>
      <c r="W3" s="187"/>
      <c r="X3" s="187"/>
      <c r="AB3" s="187" t="s">
        <v>170</v>
      </c>
      <c r="AC3" s="187" t="s">
        <v>172</v>
      </c>
      <c r="AD3" s="187"/>
      <c r="AE3" s="187"/>
      <c r="AF3" s="187" t="s">
        <v>131</v>
      </c>
      <c r="AG3" s="187"/>
      <c r="AH3" s="187"/>
      <c r="AI3" s="187" t="s">
        <v>132</v>
      </c>
      <c r="AJ3" s="187"/>
      <c r="AK3" s="187"/>
      <c r="AO3" s="187" t="s">
        <v>170</v>
      </c>
      <c r="AP3" s="187" t="s">
        <v>172</v>
      </c>
      <c r="AQ3" s="187"/>
      <c r="AR3" s="187"/>
      <c r="AS3" s="187" t="s">
        <v>131</v>
      </c>
      <c r="AT3" s="187"/>
      <c r="AU3" s="187"/>
      <c r="AV3" s="187" t="s">
        <v>132</v>
      </c>
      <c r="AW3" s="187"/>
      <c r="AX3" s="187"/>
      <c r="BB3" s="187" t="s">
        <v>170</v>
      </c>
      <c r="BC3" s="187" t="s">
        <v>172</v>
      </c>
      <c r="BD3" s="187"/>
      <c r="BE3" s="187"/>
      <c r="BF3" s="187" t="s">
        <v>131</v>
      </c>
      <c r="BG3" s="187"/>
      <c r="BH3" s="187"/>
      <c r="BI3" s="187" t="s">
        <v>132</v>
      </c>
      <c r="BJ3" s="187"/>
      <c r="BK3" s="187"/>
      <c r="BO3" s="187" t="s">
        <v>170</v>
      </c>
      <c r="BP3" s="187" t="s">
        <v>172</v>
      </c>
      <c r="BQ3" s="187"/>
      <c r="BR3" s="187"/>
      <c r="BS3" s="187" t="s">
        <v>131</v>
      </c>
      <c r="BT3" s="187"/>
      <c r="BU3" s="187"/>
      <c r="BV3" s="187" t="s">
        <v>132</v>
      </c>
      <c r="BW3" s="187"/>
      <c r="BX3" s="187"/>
    </row>
    <row r="4" spans="2:76" ht="30" x14ac:dyDescent="0.35">
      <c r="B4" s="187"/>
      <c r="C4" s="96" t="s">
        <v>173</v>
      </c>
      <c r="D4" s="96" t="s">
        <v>174</v>
      </c>
      <c r="E4" s="96" t="s">
        <v>27</v>
      </c>
      <c r="F4" s="96" t="s">
        <v>173</v>
      </c>
      <c r="G4" s="96" t="s">
        <v>174</v>
      </c>
      <c r="H4" s="96" t="s">
        <v>27</v>
      </c>
      <c r="I4" s="96" t="s">
        <v>173</v>
      </c>
      <c r="J4" s="96" t="s">
        <v>174</v>
      </c>
      <c r="K4" s="96" t="s">
        <v>27</v>
      </c>
      <c r="O4" s="187"/>
      <c r="P4" s="96" t="s">
        <v>173</v>
      </c>
      <c r="Q4" s="96" t="s">
        <v>174</v>
      </c>
      <c r="R4" s="96" t="s">
        <v>27</v>
      </c>
      <c r="S4" s="96" t="s">
        <v>173</v>
      </c>
      <c r="T4" s="96" t="s">
        <v>174</v>
      </c>
      <c r="U4" s="96" t="s">
        <v>27</v>
      </c>
      <c r="V4" s="96" t="s">
        <v>173</v>
      </c>
      <c r="W4" s="96" t="s">
        <v>174</v>
      </c>
      <c r="X4" s="96" t="s">
        <v>27</v>
      </c>
      <c r="AB4" s="187"/>
      <c r="AC4" s="96" t="s">
        <v>173</v>
      </c>
      <c r="AD4" s="96" t="s">
        <v>174</v>
      </c>
      <c r="AE4" s="96" t="s">
        <v>27</v>
      </c>
      <c r="AF4" s="96" t="s">
        <v>173</v>
      </c>
      <c r="AG4" s="96" t="s">
        <v>174</v>
      </c>
      <c r="AH4" s="96" t="s">
        <v>27</v>
      </c>
      <c r="AI4" s="96" t="s">
        <v>173</v>
      </c>
      <c r="AJ4" s="96" t="s">
        <v>174</v>
      </c>
      <c r="AK4" s="96" t="s">
        <v>27</v>
      </c>
      <c r="AO4" s="187"/>
      <c r="AP4" s="96" t="s">
        <v>173</v>
      </c>
      <c r="AQ4" s="96" t="s">
        <v>174</v>
      </c>
      <c r="AR4" s="96" t="s">
        <v>27</v>
      </c>
      <c r="AS4" s="96" t="s">
        <v>173</v>
      </c>
      <c r="AT4" s="96" t="s">
        <v>174</v>
      </c>
      <c r="AU4" s="96" t="s">
        <v>27</v>
      </c>
      <c r="AV4" s="96" t="s">
        <v>173</v>
      </c>
      <c r="AW4" s="96" t="s">
        <v>174</v>
      </c>
      <c r="AX4" s="96" t="s">
        <v>27</v>
      </c>
      <c r="BB4" s="187"/>
      <c r="BC4" s="96" t="s">
        <v>173</v>
      </c>
      <c r="BD4" s="96" t="s">
        <v>174</v>
      </c>
      <c r="BE4" s="96" t="s">
        <v>27</v>
      </c>
      <c r="BF4" s="96" t="s">
        <v>173</v>
      </c>
      <c r="BG4" s="96" t="s">
        <v>174</v>
      </c>
      <c r="BH4" s="96" t="s">
        <v>27</v>
      </c>
      <c r="BI4" s="96" t="s">
        <v>173</v>
      </c>
      <c r="BJ4" s="96" t="s">
        <v>174</v>
      </c>
      <c r="BK4" s="96" t="s">
        <v>27</v>
      </c>
      <c r="BO4" s="187"/>
      <c r="BP4" s="96" t="s">
        <v>173</v>
      </c>
      <c r="BQ4" s="96" t="s">
        <v>174</v>
      </c>
      <c r="BR4" s="96" t="s">
        <v>27</v>
      </c>
      <c r="BS4" s="96" t="s">
        <v>173</v>
      </c>
      <c r="BT4" s="96" t="s">
        <v>174</v>
      </c>
      <c r="BU4" s="96" t="s">
        <v>27</v>
      </c>
      <c r="BV4" s="96" t="s">
        <v>173</v>
      </c>
      <c r="BW4" s="96" t="s">
        <v>174</v>
      </c>
      <c r="BX4" s="96" t="s">
        <v>27</v>
      </c>
    </row>
    <row r="5" spans="2:76" x14ac:dyDescent="0.35">
      <c r="B5" s="7" t="s">
        <v>43</v>
      </c>
      <c r="C5" s="97">
        <v>0.8782561845989082</v>
      </c>
      <c r="D5" s="97">
        <v>0.43443909104356321</v>
      </c>
      <c r="E5" s="98">
        <f>SUM(C5:D5)</f>
        <v>1.3126952756424715</v>
      </c>
      <c r="F5" s="97">
        <f>I44</f>
        <v>1.3219517273514645</v>
      </c>
      <c r="G5" s="97">
        <f>J44</f>
        <v>0.50085193318802113</v>
      </c>
      <c r="H5" s="98">
        <f>SUM(F5:G5)</f>
        <v>1.8228036605394857</v>
      </c>
      <c r="I5" s="97">
        <f>I23</f>
        <v>1.3218266753932038</v>
      </c>
      <c r="J5" s="97">
        <f>J23</f>
        <v>0.50085193318802113</v>
      </c>
      <c r="K5" s="98">
        <f>SUM(I5:J5)</f>
        <v>1.8226786085812248</v>
      </c>
      <c r="O5" s="7" t="s">
        <v>43</v>
      </c>
      <c r="P5" s="97">
        <v>8.1481092668581737E-2</v>
      </c>
      <c r="Q5" s="97">
        <v>0.43443909104356321</v>
      </c>
      <c r="R5" s="98">
        <f>SUM(P5:Q5)</f>
        <v>0.51592018371214499</v>
      </c>
      <c r="S5" s="97">
        <f>V44</f>
        <v>0.56723339927187444</v>
      </c>
      <c r="T5" s="97">
        <f>W44</f>
        <v>0.69926879481993931</v>
      </c>
      <c r="U5" s="98">
        <f>SUM(S5:T5)</f>
        <v>1.2665021940918137</v>
      </c>
      <c r="V5" s="97">
        <f>V23</f>
        <v>0.67014276723163857</v>
      </c>
      <c r="W5" s="97">
        <f>W23</f>
        <v>0.69926879481993931</v>
      </c>
      <c r="X5" s="98">
        <f>SUM(V5:W5)</f>
        <v>1.3694115620515779</v>
      </c>
      <c r="AB5" s="7" t="s">
        <v>43</v>
      </c>
      <c r="AC5" s="97">
        <v>0</v>
      </c>
      <c r="AD5" s="97">
        <v>0.43443909104356321</v>
      </c>
      <c r="AE5" s="98">
        <f>SUM(AC5:AD5)</f>
        <v>0.43443909104356321</v>
      </c>
      <c r="AF5" s="97">
        <f>AI44</f>
        <v>0.1237175736760765</v>
      </c>
      <c r="AG5" s="97">
        <f>AJ44</f>
        <v>0.28701044119787716</v>
      </c>
      <c r="AH5" s="98">
        <f>SUM(AF5:AG5)</f>
        <v>0.41072801487395366</v>
      </c>
      <c r="AI5" s="97">
        <f>AI23</f>
        <v>0.22981661750858892</v>
      </c>
      <c r="AJ5" s="97">
        <f>AJ23</f>
        <v>0.28701044119787716</v>
      </c>
      <c r="AK5" s="98">
        <f>SUM(AI5:AJ5)</f>
        <v>0.51682705870646606</v>
      </c>
      <c r="AO5" s="7" t="s">
        <v>43</v>
      </c>
      <c r="AP5" s="97">
        <v>0</v>
      </c>
      <c r="AQ5" s="97">
        <v>0.43443909104356321</v>
      </c>
      <c r="AR5" s="98">
        <f>SUM(AP5:AQ5)</f>
        <v>0.43443909104356321</v>
      </c>
      <c r="AS5" s="97">
        <f>AU44</f>
        <v>-4.0304117311400935E-5</v>
      </c>
      <c r="AT5" s="97">
        <f>AV44</f>
        <v>0.28701044119787716</v>
      </c>
      <c r="AU5" s="98">
        <f>SUM(AS5:AT5)</f>
        <v>0.28697013708056579</v>
      </c>
      <c r="AV5" s="97">
        <f>AU23</f>
        <v>0</v>
      </c>
      <c r="AW5" s="97">
        <f>AV23</f>
        <v>0.28701044119787716</v>
      </c>
      <c r="AX5" s="98">
        <f>SUM(AV5:AW5)</f>
        <v>0.28701044119787716</v>
      </c>
      <c r="BB5" s="7" t="s">
        <v>43</v>
      </c>
      <c r="BC5" s="97">
        <v>0</v>
      </c>
      <c r="BD5" s="97">
        <v>0.43443909104356321</v>
      </c>
      <c r="BE5" s="98">
        <f>SUM(BC5:BD5)</f>
        <v>0.43443909104356321</v>
      </c>
      <c r="BF5" s="97">
        <f>BH44</f>
        <v>0</v>
      </c>
      <c r="BG5" s="97">
        <f>BI44</f>
        <v>0.28701044119787716</v>
      </c>
      <c r="BH5" s="98">
        <f>SUM(BF5:BG5)</f>
        <v>0.28701044119787716</v>
      </c>
      <c r="BI5" s="97">
        <f>BH23</f>
        <v>0</v>
      </c>
      <c r="BJ5" s="97">
        <f>BI23</f>
        <v>0.28701044119787716</v>
      </c>
      <c r="BK5" s="98">
        <f>SUM(BI5:BJ5)</f>
        <v>0.28701044119787716</v>
      </c>
      <c r="BO5" s="7" t="s">
        <v>43</v>
      </c>
      <c r="BP5" s="97">
        <v>0</v>
      </c>
      <c r="BQ5" s="97">
        <v>0.43443909104356321</v>
      </c>
      <c r="BR5" s="98">
        <f>SUM(BP5:BQ5)</f>
        <v>0.43443909104356321</v>
      </c>
      <c r="BS5" s="97">
        <f>BU44</f>
        <v>0</v>
      </c>
      <c r="BT5" s="97">
        <f>BV44</f>
        <v>0.28701044119787716</v>
      </c>
      <c r="BU5" s="98">
        <f>SUM(BS5:BT5)</f>
        <v>0.28701044119787716</v>
      </c>
      <c r="BV5" s="97">
        <f>BU23</f>
        <v>0</v>
      </c>
      <c r="BW5" s="97">
        <f>BV23</f>
        <v>0.28701044119787716</v>
      </c>
      <c r="BX5" s="98">
        <f>SUM(BV5:BW5)</f>
        <v>0.28701044119787716</v>
      </c>
    </row>
    <row r="6" spans="2:76" x14ac:dyDescent="0.35">
      <c r="B6" s="7" t="s">
        <v>150</v>
      </c>
      <c r="C6" s="97">
        <v>37.853715228061795</v>
      </c>
      <c r="D6" s="97">
        <v>2.4204463643855658</v>
      </c>
      <c r="E6" s="98">
        <f t="shared" ref="E6:E18" si="0">SUM(C6:D6)</f>
        <v>40.274161592447363</v>
      </c>
      <c r="F6" s="97">
        <f t="shared" ref="F6:G17" si="1">I45</f>
        <v>36.911564583221285</v>
      </c>
      <c r="G6" s="97">
        <f t="shared" si="1"/>
        <v>3.180115280288097</v>
      </c>
      <c r="H6" s="98">
        <f t="shared" ref="H6:H18" si="2">SUM(F6:G6)</f>
        <v>40.091679863509384</v>
      </c>
      <c r="I6" s="97">
        <f t="shared" ref="I6:J17" si="3">I24</f>
        <v>36.911749218186344</v>
      </c>
      <c r="J6" s="97">
        <f t="shared" si="3"/>
        <v>3.180115280288097</v>
      </c>
      <c r="K6" s="98">
        <f t="shared" ref="K6:K18" si="4">SUM(I6:J6)</f>
        <v>40.091864498474443</v>
      </c>
      <c r="O6" s="7" t="s">
        <v>150</v>
      </c>
      <c r="P6" s="97">
        <v>43.280900238487973</v>
      </c>
      <c r="Q6" s="97">
        <v>2.4204463643855658</v>
      </c>
      <c r="R6" s="98">
        <f t="shared" ref="R6:R18" si="5">SUM(P6:Q6)</f>
        <v>45.701346602873542</v>
      </c>
      <c r="S6" s="97">
        <f t="shared" ref="S6:T17" si="6">V45</f>
        <v>36.367598817993454</v>
      </c>
      <c r="T6" s="97">
        <f t="shared" si="6"/>
        <v>3.1966573477482942</v>
      </c>
      <c r="U6" s="98">
        <f t="shared" ref="U6:U18" si="7">SUM(S6:T6)</f>
        <v>39.564256165741746</v>
      </c>
      <c r="V6" s="97">
        <f t="shared" ref="V6:W17" si="8">V24</f>
        <v>36.369267166681404</v>
      </c>
      <c r="W6" s="97">
        <f t="shared" si="8"/>
        <v>3.1966573477482942</v>
      </c>
      <c r="X6" s="98">
        <f t="shared" ref="X6:X18" si="9">SUM(V6:W6)</f>
        <v>39.565924514429696</v>
      </c>
      <c r="AB6" s="7" t="s">
        <v>150</v>
      </c>
      <c r="AC6" s="97">
        <v>50.020473476823298</v>
      </c>
      <c r="AD6" s="97">
        <v>2.4204463643855658</v>
      </c>
      <c r="AE6" s="98">
        <f t="shared" ref="AE6:AE18" si="10">SUM(AC6:AD6)</f>
        <v>52.440919841208867</v>
      </c>
      <c r="AF6" s="97">
        <f t="shared" ref="AF6:AG17" si="11">AI45</f>
        <v>48.125702735357649</v>
      </c>
      <c r="AG6" s="97">
        <f t="shared" si="11"/>
        <v>1.3120477311902958</v>
      </c>
      <c r="AH6" s="98">
        <f t="shared" ref="AH6:AH18" si="12">SUM(AF6:AG6)</f>
        <v>49.437750466547946</v>
      </c>
      <c r="AI6" s="97">
        <f t="shared" ref="AI6:AJ17" si="13">AI24</f>
        <v>47.127133509027004</v>
      </c>
      <c r="AJ6" s="97">
        <f t="shared" si="13"/>
        <v>1.3120477311902958</v>
      </c>
      <c r="AK6" s="98">
        <f t="shared" ref="AK6:AK18" si="14">SUM(AI6:AJ6)</f>
        <v>48.439181240217302</v>
      </c>
      <c r="AO6" s="7" t="s">
        <v>150</v>
      </c>
      <c r="AP6" s="97">
        <v>52.47399688171248</v>
      </c>
      <c r="AQ6" s="97">
        <v>2.4204463643855658</v>
      </c>
      <c r="AR6" s="98">
        <f t="shared" ref="AR6:AR18" si="15">SUM(AP6:AQ6)</f>
        <v>54.894443246098049</v>
      </c>
      <c r="AS6" s="97">
        <f t="shared" ref="AS6:AT17" si="16">AU45</f>
        <v>61.793268022950627</v>
      </c>
      <c r="AT6" s="97">
        <f t="shared" si="16"/>
        <v>1.3120477311902958</v>
      </c>
      <c r="AU6" s="98">
        <f t="shared" ref="AU6:AU18" si="17">SUM(AS6:AT6)</f>
        <v>63.105315754140925</v>
      </c>
      <c r="AV6" s="97">
        <f t="shared" ref="AV6:AW17" si="18">AU24</f>
        <v>59.585115400860225</v>
      </c>
      <c r="AW6" s="97">
        <f t="shared" si="18"/>
        <v>1.3120477311902958</v>
      </c>
      <c r="AX6" s="98">
        <f t="shared" ref="AX6:AX18" si="19">SUM(AV6:AW6)</f>
        <v>60.897163132050522</v>
      </c>
      <c r="BB6" s="7" t="s">
        <v>150</v>
      </c>
      <c r="BC6" s="97">
        <v>49.011753891041707</v>
      </c>
      <c r="BD6" s="97">
        <v>2.4204463643855658</v>
      </c>
      <c r="BE6" s="98">
        <f t="shared" ref="BE6:BE18" si="20">SUM(BC6:BD6)</f>
        <v>51.432200255427276</v>
      </c>
      <c r="BF6" s="97">
        <f t="shared" ref="BF6:BG17" si="21">BH45</f>
        <v>72.221839421560176</v>
      </c>
      <c r="BG6" s="97">
        <f t="shared" si="21"/>
        <v>1.3120477311902958</v>
      </c>
      <c r="BH6" s="98">
        <f t="shared" ref="BH6:BH18" si="22">SUM(BF6:BG6)</f>
        <v>73.533887152750466</v>
      </c>
      <c r="BI6" s="97">
        <f t="shared" ref="BI6:BJ17" si="23">BH24</f>
        <v>62.290630412125815</v>
      </c>
      <c r="BJ6" s="97">
        <f t="shared" si="23"/>
        <v>1.3120477311902958</v>
      </c>
      <c r="BK6" s="98">
        <f t="shared" ref="BK6:BK18" si="24">SUM(BI6:BJ6)</f>
        <v>63.602678143316112</v>
      </c>
      <c r="BO6" s="7" t="s">
        <v>150</v>
      </c>
      <c r="BP6" s="97">
        <v>43.772856355443174</v>
      </c>
      <c r="BQ6" s="97">
        <v>2.4204463643855658</v>
      </c>
      <c r="BR6" s="98">
        <f t="shared" ref="BR6:BR18" si="25">SUM(BP6:BQ6)</f>
        <v>46.193302719828743</v>
      </c>
      <c r="BS6" s="97">
        <f t="shared" ref="BS6:BT17" si="26">BU45</f>
        <v>128.33285539796768</v>
      </c>
      <c r="BT6" s="97">
        <f t="shared" si="26"/>
        <v>1.3120477311902958</v>
      </c>
      <c r="BU6" s="98">
        <f t="shared" ref="BU6:BU18" si="27">SUM(BS6:BT6)</f>
        <v>129.64490312915797</v>
      </c>
      <c r="BV6" s="97">
        <f t="shared" ref="BV6:BW17" si="28">BU24</f>
        <v>84.424668786663034</v>
      </c>
      <c r="BW6" s="97">
        <f t="shared" si="28"/>
        <v>1.3120477311902958</v>
      </c>
      <c r="BX6" s="98">
        <f t="shared" ref="BX6:BX18" si="29">SUM(BV6:BW6)</f>
        <v>85.736716517853324</v>
      </c>
    </row>
    <row r="7" spans="2:76" x14ac:dyDescent="0.35">
      <c r="B7" s="7" t="s">
        <v>151</v>
      </c>
      <c r="C7" s="97">
        <v>8.3562162564225897</v>
      </c>
      <c r="D7" s="97">
        <v>0.86887818208712642</v>
      </c>
      <c r="E7" s="98">
        <f t="shared" si="0"/>
        <v>9.225094438509716</v>
      </c>
      <c r="F7" s="97">
        <f t="shared" si="1"/>
        <v>6.6311829526952133</v>
      </c>
      <c r="G7" s="97">
        <f t="shared" si="1"/>
        <v>1.8079849043760425</v>
      </c>
      <c r="H7" s="98">
        <f t="shared" si="2"/>
        <v>8.4391678570712561</v>
      </c>
      <c r="I7" s="97">
        <f t="shared" si="3"/>
        <v>6.6311435771066041</v>
      </c>
      <c r="J7" s="97">
        <f t="shared" si="3"/>
        <v>1.8079849043760425</v>
      </c>
      <c r="K7" s="98">
        <f t="shared" si="4"/>
        <v>8.4391284814826459</v>
      </c>
      <c r="O7" s="7" t="s">
        <v>151</v>
      </c>
      <c r="P7" s="97">
        <v>14.80236996561352</v>
      </c>
      <c r="Q7" s="97">
        <v>0.86887818208712642</v>
      </c>
      <c r="R7" s="98">
        <f t="shared" si="5"/>
        <v>15.671248147700647</v>
      </c>
      <c r="S7" s="97">
        <f t="shared" si="6"/>
        <v>5.255022051669842</v>
      </c>
      <c r="T7" s="97">
        <f t="shared" si="6"/>
        <v>1.3985375896398786</v>
      </c>
      <c r="U7" s="98">
        <f t="shared" si="7"/>
        <v>6.6535596413097204</v>
      </c>
      <c r="V7" s="97">
        <f t="shared" si="8"/>
        <v>5.252562761689954</v>
      </c>
      <c r="W7" s="97">
        <f t="shared" si="8"/>
        <v>1.3985375896398786</v>
      </c>
      <c r="X7" s="98">
        <f t="shared" si="9"/>
        <v>6.6511003513298323</v>
      </c>
      <c r="AB7" s="7" t="s">
        <v>151</v>
      </c>
      <c r="AC7" s="97">
        <v>21.564025303221296</v>
      </c>
      <c r="AD7" s="97">
        <v>0.86887818208712642</v>
      </c>
      <c r="AE7" s="98">
        <f t="shared" si="10"/>
        <v>22.432903485308422</v>
      </c>
      <c r="AF7" s="97">
        <f t="shared" si="11"/>
        <v>4.81147419526443</v>
      </c>
      <c r="AG7" s="97">
        <f t="shared" si="11"/>
        <v>0.57402088239575433</v>
      </c>
      <c r="AH7" s="98">
        <f t="shared" si="12"/>
        <v>5.3854950776601846</v>
      </c>
      <c r="AI7" s="97">
        <f t="shared" si="13"/>
        <v>4.8267605849154718</v>
      </c>
      <c r="AJ7" s="97">
        <f t="shared" si="13"/>
        <v>0.57402088239575433</v>
      </c>
      <c r="AK7" s="98">
        <f t="shared" si="14"/>
        <v>5.4007814673112264</v>
      </c>
      <c r="AO7" s="7" t="s">
        <v>151</v>
      </c>
      <c r="AP7" s="97">
        <v>22.598350418321587</v>
      </c>
      <c r="AQ7" s="97">
        <v>0.86887818208712642</v>
      </c>
      <c r="AR7" s="98">
        <f t="shared" si="15"/>
        <v>23.467228600408713</v>
      </c>
      <c r="AS7" s="97">
        <f t="shared" si="16"/>
        <v>5.2121706742308964</v>
      </c>
      <c r="AT7" s="97">
        <f t="shared" si="16"/>
        <v>0.57402088239575433</v>
      </c>
      <c r="AU7" s="98">
        <f t="shared" si="17"/>
        <v>5.7861915566266511</v>
      </c>
      <c r="AV7" s="97">
        <f t="shared" si="18"/>
        <v>5.3004856264377658</v>
      </c>
      <c r="AW7" s="97">
        <f t="shared" si="18"/>
        <v>0.57402088239575433</v>
      </c>
      <c r="AX7" s="98">
        <f t="shared" si="19"/>
        <v>5.8745065088335204</v>
      </c>
      <c r="BB7" s="7" t="s">
        <v>151</v>
      </c>
      <c r="BC7" s="97">
        <v>20.288617737921307</v>
      </c>
      <c r="BD7" s="97">
        <v>0.86887818208712642</v>
      </c>
      <c r="BE7" s="98">
        <f t="shared" si="20"/>
        <v>21.157495920008433</v>
      </c>
      <c r="BF7" s="97">
        <f t="shared" si="21"/>
        <v>22.199286302583427</v>
      </c>
      <c r="BG7" s="97">
        <f t="shared" si="21"/>
        <v>0.57402088239575433</v>
      </c>
      <c r="BH7" s="98">
        <f t="shared" si="22"/>
        <v>22.773307184979181</v>
      </c>
      <c r="BI7" s="97">
        <f t="shared" si="23"/>
        <v>18.080968454390067</v>
      </c>
      <c r="BJ7" s="97">
        <f t="shared" si="23"/>
        <v>0.57402088239575433</v>
      </c>
      <c r="BK7" s="98">
        <f t="shared" si="24"/>
        <v>18.654989336785821</v>
      </c>
      <c r="BO7" s="7" t="s">
        <v>151</v>
      </c>
      <c r="BP7" s="97">
        <v>16.675888979934044</v>
      </c>
      <c r="BQ7" s="97">
        <v>0.86887818208712642</v>
      </c>
      <c r="BR7" s="98">
        <f t="shared" si="25"/>
        <v>17.54476716202117</v>
      </c>
      <c r="BS7" s="97">
        <f t="shared" si="26"/>
        <v>43.469924710142038</v>
      </c>
      <c r="BT7" s="97">
        <f t="shared" si="26"/>
        <v>0.57402088239575433</v>
      </c>
      <c r="BU7" s="98">
        <f t="shared" si="27"/>
        <v>44.043945592537796</v>
      </c>
      <c r="BV7" s="97">
        <f t="shared" si="28"/>
        <v>30.792676564006712</v>
      </c>
      <c r="BW7" s="97">
        <f t="shared" si="28"/>
        <v>0.57402088239575433</v>
      </c>
      <c r="BX7" s="98">
        <f t="shared" si="29"/>
        <v>31.366697446402465</v>
      </c>
    </row>
    <row r="8" spans="2:76" x14ac:dyDescent="0.35">
      <c r="B8" s="7" t="s">
        <v>44</v>
      </c>
      <c r="C8" s="97">
        <v>14.452961455034925</v>
      </c>
      <c r="D8" s="97">
        <v>0.64131484868335509</v>
      </c>
      <c r="E8" s="98">
        <f t="shared" si="0"/>
        <v>15.094276303718281</v>
      </c>
      <c r="F8" s="97">
        <f t="shared" si="1"/>
        <v>16.723114526680256</v>
      </c>
      <c r="G8" s="97">
        <f t="shared" si="1"/>
        <v>1.4003598331880212</v>
      </c>
      <c r="H8" s="98">
        <f t="shared" si="2"/>
        <v>18.123474359868275</v>
      </c>
      <c r="I8" s="97">
        <f t="shared" si="3"/>
        <v>16.712785446493516</v>
      </c>
      <c r="J8" s="97">
        <f t="shared" si="3"/>
        <v>1.4003598331880212</v>
      </c>
      <c r="K8" s="98">
        <f t="shared" si="4"/>
        <v>18.113145279681536</v>
      </c>
      <c r="O8" s="7" t="s">
        <v>44</v>
      </c>
      <c r="P8" s="97">
        <v>14.87027815517437</v>
      </c>
      <c r="Q8" s="97">
        <v>0.64131484868335509</v>
      </c>
      <c r="R8" s="98">
        <f t="shared" si="5"/>
        <v>15.511593003857726</v>
      </c>
      <c r="S8" s="97">
        <f t="shared" si="6"/>
        <v>10.902747273513498</v>
      </c>
      <c r="T8" s="97">
        <f t="shared" si="6"/>
        <v>2.7605392491767047</v>
      </c>
      <c r="U8" s="98">
        <f t="shared" si="7"/>
        <v>13.663286522690203</v>
      </c>
      <c r="V8" s="97">
        <f t="shared" si="8"/>
        <v>10.856991738178813</v>
      </c>
      <c r="W8" s="97">
        <f t="shared" si="8"/>
        <v>2.7605392491767047</v>
      </c>
      <c r="X8" s="98">
        <f t="shared" si="9"/>
        <v>13.617530987355519</v>
      </c>
      <c r="AB8" s="7" t="s">
        <v>44</v>
      </c>
      <c r="AC8" s="97">
        <v>14.216167002540022</v>
      </c>
      <c r="AD8" s="97">
        <v>0.64131484868335509</v>
      </c>
      <c r="AE8" s="98">
        <f t="shared" si="10"/>
        <v>14.857481851223376</v>
      </c>
      <c r="AF8" s="97">
        <f t="shared" si="11"/>
        <v>18.407955032431165</v>
      </c>
      <c r="AG8" s="97">
        <f t="shared" si="11"/>
        <v>0.28701044119787716</v>
      </c>
      <c r="AH8" s="98">
        <f t="shared" si="12"/>
        <v>18.694965473629043</v>
      </c>
      <c r="AI8" s="97">
        <f t="shared" si="13"/>
        <v>19.194991453226425</v>
      </c>
      <c r="AJ8" s="97">
        <f t="shared" si="13"/>
        <v>0.28701044119787716</v>
      </c>
      <c r="AK8" s="98">
        <f t="shared" si="14"/>
        <v>19.482001894424304</v>
      </c>
      <c r="AO8" s="7" t="s">
        <v>44</v>
      </c>
      <c r="AP8" s="97">
        <v>13.653750337472001</v>
      </c>
      <c r="AQ8" s="97">
        <v>0.64131484868335509</v>
      </c>
      <c r="AR8" s="98">
        <f t="shared" si="15"/>
        <v>14.295065186155355</v>
      </c>
      <c r="AS8" s="97">
        <f t="shared" si="16"/>
        <v>16.684598893712373</v>
      </c>
      <c r="AT8" s="97">
        <f t="shared" si="16"/>
        <v>0.28701044119787716</v>
      </c>
      <c r="AU8" s="98">
        <f t="shared" si="17"/>
        <v>16.971609334910251</v>
      </c>
      <c r="AV8" s="97">
        <f t="shared" si="18"/>
        <v>18.598410067677698</v>
      </c>
      <c r="AW8" s="97">
        <f t="shared" si="18"/>
        <v>0.28701044119787716</v>
      </c>
      <c r="AX8" s="98">
        <f t="shared" si="19"/>
        <v>18.885420508875576</v>
      </c>
      <c r="BB8" s="7" t="s">
        <v>44</v>
      </c>
      <c r="BC8" s="97">
        <v>12.788446617732719</v>
      </c>
      <c r="BD8" s="97">
        <v>0.64131484868335509</v>
      </c>
      <c r="BE8" s="98">
        <f t="shared" si="20"/>
        <v>13.429761466416075</v>
      </c>
      <c r="BF8" s="97">
        <f t="shared" si="21"/>
        <v>17.181348279442059</v>
      </c>
      <c r="BG8" s="97">
        <f t="shared" si="21"/>
        <v>0.28701044119787716</v>
      </c>
      <c r="BH8" s="98">
        <f t="shared" si="22"/>
        <v>17.468358720639937</v>
      </c>
      <c r="BI8" s="97">
        <f t="shared" si="23"/>
        <v>19.544340457181281</v>
      </c>
      <c r="BJ8" s="97">
        <f t="shared" si="23"/>
        <v>0.28701044119787716</v>
      </c>
      <c r="BK8" s="98">
        <f t="shared" si="24"/>
        <v>19.83135089837916</v>
      </c>
      <c r="BO8" s="7" t="s">
        <v>44</v>
      </c>
      <c r="BP8" s="97">
        <v>11.63129876426933</v>
      </c>
      <c r="BQ8" s="97">
        <v>0.64131484868335509</v>
      </c>
      <c r="BR8" s="98">
        <f t="shared" si="25"/>
        <v>12.272613612952686</v>
      </c>
      <c r="BS8" s="97">
        <f t="shared" si="26"/>
        <v>20.540670062843294</v>
      </c>
      <c r="BT8" s="97">
        <f t="shared" si="26"/>
        <v>0.28701044119787716</v>
      </c>
      <c r="BU8" s="98">
        <f t="shared" si="27"/>
        <v>20.827680504041172</v>
      </c>
      <c r="BV8" s="97">
        <f t="shared" si="28"/>
        <v>19.276819709701211</v>
      </c>
      <c r="BW8" s="97">
        <f t="shared" si="28"/>
        <v>0.28701044119787716</v>
      </c>
      <c r="BX8" s="98">
        <f t="shared" si="29"/>
        <v>19.56383015089909</v>
      </c>
    </row>
    <row r="9" spans="2:76" x14ac:dyDescent="0.35">
      <c r="B9" s="7" t="s">
        <v>152</v>
      </c>
      <c r="C9" s="97">
        <v>1.5132333346264084</v>
      </c>
      <c r="D9" s="97">
        <v>0.65881534756534477</v>
      </c>
      <c r="E9" s="98">
        <f t="shared" si="0"/>
        <v>2.1720486821917531</v>
      </c>
      <c r="F9" s="97">
        <f t="shared" si="1"/>
        <v>4.2505065123008761</v>
      </c>
      <c r="G9" s="97">
        <f t="shared" si="1"/>
        <v>0.64362874778203183</v>
      </c>
      <c r="H9" s="98">
        <f t="shared" si="2"/>
        <v>4.8941352600829076</v>
      </c>
      <c r="I9" s="97">
        <f t="shared" si="3"/>
        <v>4.2504544663017443</v>
      </c>
      <c r="J9" s="97">
        <f t="shared" si="3"/>
        <v>0.64362874778203183</v>
      </c>
      <c r="K9" s="98">
        <f t="shared" si="4"/>
        <v>4.8940832140837758</v>
      </c>
      <c r="O9" s="7" t="s">
        <v>152</v>
      </c>
      <c r="P9" s="97">
        <v>0.39549842487836029</v>
      </c>
      <c r="Q9" s="97">
        <v>0.65881534756534477</v>
      </c>
      <c r="R9" s="98">
        <f t="shared" si="5"/>
        <v>1.0543137724437051</v>
      </c>
      <c r="S9" s="97">
        <f t="shared" si="6"/>
        <v>3.8173778032111754</v>
      </c>
      <c r="T9" s="97">
        <f t="shared" si="6"/>
        <v>1.5854964852391933</v>
      </c>
      <c r="U9" s="98">
        <f t="shared" si="7"/>
        <v>5.4028742884503682</v>
      </c>
      <c r="V9" s="97">
        <f t="shared" si="8"/>
        <v>4.1735979246026265</v>
      </c>
      <c r="W9" s="97">
        <f t="shared" si="8"/>
        <v>1.5854964852391933</v>
      </c>
      <c r="X9" s="98">
        <f t="shared" si="9"/>
        <v>5.7590944098418202</v>
      </c>
      <c r="AB9" s="7" t="s">
        <v>152</v>
      </c>
      <c r="AC9" s="97">
        <v>0.66018404467529679</v>
      </c>
      <c r="AD9" s="97">
        <v>0.65881534756534477</v>
      </c>
      <c r="AE9" s="98">
        <f t="shared" si="10"/>
        <v>1.3189993922406416</v>
      </c>
      <c r="AF9" s="97">
        <f t="shared" si="11"/>
        <v>2.9308661106987177</v>
      </c>
      <c r="AG9" s="97">
        <f t="shared" si="11"/>
        <v>0.98590407682400583</v>
      </c>
      <c r="AH9" s="98">
        <f t="shared" si="12"/>
        <v>3.9167701875227237</v>
      </c>
      <c r="AI9" s="97">
        <f t="shared" si="13"/>
        <v>4.1323814378449022</v>
      </c>
      <c r="AJ9" s="97">
        <f t="shared" si="13"/>
        <v>0.98590407682400583</v>
      </c>
      <c r="AK9" s="98">
        <f t="shared" si="14"/>
        <v>5.1182855146689077</v>
      </c>
      <c r="AO9" s="7" t="s">
        <v>152</v>
      </c>
      <c r="AP9" s="97">
        <v>0.2646856197969365</v>
      </c>
      <c r="AQ9" s="97">
        <v>0.65881534756534477</v>
      </c>
      <c r="AR9" s="98">
        <f t="shared" si="15"/>
        <v>0.92350096736228127</v>
      </c>
      <c r="AS9" s="97">
        <f t="shared" si="16"/>
        <v>1.2118764129293753</v>
      </c>
      <c r="AT9" s="97">
        <f t="shared" si="16"/>
        <v>0.98590407682400583</v>
      </c>
      <c r="AU9" s="98">
        <f t="shared" si="17"/>
        <v>2.1977804897533813</v>
      </c>
      <c r="AV9" s="97">
        <f t="shared" si="18"/>
        <v>3.2392096121557099</v>
      </c>
      <c r="AW9" s="97">
        <f t="shared" si="18"/>
        <v>0.98590407682400583</v>
      </c>
      <c r="AX9" s="98">
        <f t="shared" si="19"/>
        <v>4.2251136889797154</v>
      </c>
      <c r="BB9" s="7" t="s">
        <v>152</v>
      </c>
      <c r="BC9" s="97">
        <v>0</v>
      </c>
      <c r="BD9" s="97">
        <v>0.65881534756534477</v>
      </c>
      <c r="BE9" s="98">
        <f t="shared" si="20"/>
        <v>0.65881534756534477</v>
      </c>
      <c r="BF9" s="97">
        <f t="shared" si="21"/>
        <v>0</v>
      </c>
      <c r="BG9" s="97">
        <f t="shared" si="21"/>
        <v>0.98590407682400583</v>
      </c>
      <c r="BH9" s="98">
        <f t="shared" si="22"/>
        <v>0.98590407682400583</v>
      </c>
      <c r="BI9" s="97">
        <f t="shared" si="23"/>
        <v>1.7551115987648769</v>
      </c>
      <c r="BJ9" s="97">
        <f t="shared" si="23"/>
        <v>0.98590407682400583</v>
      </c>
      <c r="BK9" s="98">
        <f t="shared" si="24"/>
        <v>2.7410156755888826</v>
      </c>
      <c r="BO9" s="7" t="s">
        <v>152</v>
      </c>
      <c r="BP9" s="97">
        <v>0</v>
      </c>
      <c r="BQ9" s="97">
        <v>0.65881534756534477</v>
      </c>
      <c r="BR9" s="98">
        <f t="shared" si="25"/>
        <v>0.65881534756534477</v>
      </c>
      <c r="BS9" s="97">
        <f t="shared" si="26"/>
        <v>0</v>
      </c>
      <c r="BT9" s="97">
        <f t="shared" si="26"/>
        <v>0.98590407682400583</v>
      </c>
      <c r="BU9" s="98">
        <f t="shared" si="27"/>
        <v>0.98590407682400583</v>
      </c>
      <c r="BV9" s="97">
        <f t="shared" si="28"/>
        <v>0.55062031811219192</v>
      </c>
      <c r="BW9" s="97">
        <f t="shared" si="28"/>
        <v>0.98590407682400583</v>
      </c>
      <c r="BX9" s="98">
        <f t="shared" si="29"/>
        <v>1.5365243949361977</v>
      </c>
    </row>
    <row r="10" spans="2:76" x14ac:dyDescent="0.35">
      <c r="B10" s="7" t="s">
        <v>154</v>
      </c>
      <c r="C10" s="97">
        <v>8.328455106705011</v>
      </c>
      <c r="D10" s="97">
        <v>0.69511994566970103</v>
      </c>
      <c r="E10" s="98">
        <f t="shared" si="0"/>
        <v>9.0235750523747118</v>
      </c>
      <c r="F10" s="97">
        <f t="shared" si="1"/>
        <v>9.0623963474794458</v>
      </c>
      <c r="G10" s="97">
        <f t="shared" si="1"/>
        <v>0.57723920810083396</v>
      </c>
      <c r="H10" s="98">
        <f t="shared" si="2"/>
        <v>9.6396355555802806</v>
      </c>
      <c r="I10" s="97">
        <f t="shared" si="3"/>
        <v>9.0623963485218084</v>
      </c>
      <c r="J10" s="97">
        <f t="shared" si="3"/>
        <v>0.57723920810083396</v>
      </c>
      <c r="K10" s="98">
        <f t="shared" si="4"/>
        <v>9.6396355566226433</v>
      </c>
      <c r="O10" s="7" t="s">
        <v>154</v>
      </c>
      <c r="P10" s="97">
        <v>9.5830418812968681</v>
      </c>
      <c r="Q10" s="97">
        <v>0.69511994566970103</v>
      </c>
      <c r="R10" s="98">
        <f t="shared" si="5"/>
        <v>10.278161826966569</v>
      </c>
      <c r="S10" s="97">
        <f t="shared" si="6"/>
        <v>8.6793050939115162</v>
      </c>
      <c r="T10" s="97">
        <f t="shared" si="6"/>
        <v>1.118959971711903</v>
      </c>
      <c r="U10" s="98">
        <f t="shared" si="7"/>
        <v>9.7982650656234185</v>
      </c>
      <c r="V10" s="97">
        <f t="shared" si="8"/>
        <v>8.6271829982275765</v>
      </c>
      <c r="W10" s="97">
        <f t="shared" si="8"/>
        <v>1.118959971711903</v>
      </c>
      <c r="X10" s="98">
        <f t="shared" si="9"/>
        <v>9.7461429699394788</v>
      </c>
      <c r="AB10" s="7" t="s">
        <v>154</v>
      </c>
      <c r="AC10" s="97">
        <v>11.588607390352845</v>
      </c>
      <c r="AD10" s="97">
        <v>0.69511994566970103</v>
      </c>
      <c r="AE10" s="98">
        <f t="shared" si="10"/>
        <v>12.283727336022546</v>
      </c>
      <c r="AF10" s="97">
        <f t="shared" si="11"/>
        <v>9.1975321563472878</v>
      </c>
      <c r="AG10" s="97">
        <f t="shared" si="11"/>
        <v>0.99338442147893957</v>
      </c>
      <c r="AH10" s="98">
        <f t="shared" si="12"/>
        <v>10.190916577826227</v>
      </c>
      <c r="AI10" s="97">
        <f t="shared" si="13"/>
        <v>9.02859426899178</v>
      </c>
      <c r="AJ10" s="97">
        <f t="shared" si="13"/>
        <v>0.99338442147893957</v>
      </c>
      <c r="AK10" s="98">
        <f t="shared" si="14"/>
        <v>10.02197869047072</v>
      </c>
      <c r="AO10" s="7" t="s">
        <v>154</v>
      </c>
      <c r="AP10" s="97">
        <v>11.524326569497406</v>
      </c>
      <c r="AQ10" s="97">
        <v>0.69511994566970103</v>
      </c>
      <c r="AR10" s="98">
        <f t="shared" si="15"/>
        <v>12.219446515167107</v>
      </c>
      <c r="AS10" s="97">
        <f t="shared" si="16"/>
        <v>9.9425028679269243</v>
      </c>
      <c r="AT10" s="97">
        <f t="shared" si="16"/>
        <v>0.99338442147893957</v>
      </c>
      <c r="AU10" s="98">
        <f t="shared" si="17"/>
        <v>10.935887289405864</v>
      </c>
      <c r="AV10" s="97">
        <f t="shared" si="18"/>
        <v>9.3499190545780486</v>
      </c>
      <c r="AW10" s="97">
        <f t="shared" si="18"/>
        <v>0.99338442147893957</v>
      </c>
      <c r="AX10" s="98">
        <f t="shared" si="19"/>
        <v>10.343303476056988</v>
      </c>
      <c r="BB10" s="7" t="s">
        <v>154</v>
      </c>
      <c r="BC10" s="97">
        <v>9.1309892366538055</v>
      </c>
      <c r="BD10" s="97">
        <v>0.69511994566970103</v>
      </c>
      <c r="BE10" s="98">
        <f t="shared" si="20"/>
        <v>9.8261091823235063</v>
      </c>
      <c r="BF10" s="97">
        <f t="shared" si="21"/>
        <v>13.793804461998013</v>
      </c>
      <c r="BG10" s="97">
        <f t="shared" si="21"/>
        <v>0.99338442147893957</v>
      </c>
      <c r="BH10" s="98">
        <f t="shared" si="22"/>
        <v>14.787188883476952</v>
      </c>
      <c r="BI10" s="97">
        <f t="shared" si="23"/>
        <v>10.676547935725576</v>
      </c>
      <c r="BJ10" s="97">
        <f t="shared" si="23"/>
        <v>0.99338442147893957</v>
      </c>
      <c r="BK10" s="98">
        <f t="shared" si="24"/>
        <v>11.669932357204516</v>
      </c>
      <c r="BO10" s="7" t="s">
        <v>154</v>
      </c>
      <c r="BP10" s="97">
        <v>5.4777644164742814</v>
      </c>
      <c r="BQ10" s="97">
        <v>0.69511994566970103</v>
      </c>
      <c r="BR10" s="98">
        <f t="shared" si="25"/>
        <v>6.1728843621439822</v>
      </c>
      <c r="BS10" s="97">
        <f t="shared" si="26"/>
        <v>15.938081213051225</v>
      </c>
      <c r="BT10" s="97">
        <f t="shared" si="26"/>
        <v>0.99338442147893957</v>
      </c>
      <c r="BU10" s="98">
        <f t="shared" si="27"/>
        <v>16.931465634530163</v>
      </c>
      <c r="BV10" s="97">
        <f t="shared" si="28"/>
        <v>7.7005736133102536</v>
      </c>
      <c r="BW10" s="97">
        <f t="shared" si="28"/>
        <v>0.99338442147893957</v>
      </c>
      <c r="BX10" s="98">
        <f t="shared" si="29"/>
        <v>8.693958034789194</v>
      </c>
    </row>
    <row r="11" spans="2:76" x14ac:dyDescent="0.35">
      <c r="B11" s="7" t="s">
        <v>155</v>
      </c>
      <c r="C11" s="97">
        <v>65.640940597146667</v>
      </c>
      <c r="D11" s="97">
        <v>0.10861045</v>
      </c>
      <c r="E11" s="98">
        <f t="shared" si="0"/>
        <v>65.749551047146667</v>
      </c>
      <c r="F11" s="97">
        <f t="shared" si="1"/>
        <v>65.023724730236438</v>
      </c>
      <c r="G11" s="97">
        <f t="shared" si="1"/>
        <v>0.91266926603335852</v>
      </c>
      <c r="H11" s="98">
        <f t="shared" si="2"/>
        <v>65.9363939962698</v>
      </c>
      <c r="I11" s="97">
        <f t="shared" si="3"/>
        <v>64.979584015523955</v>
      </c>
      <c r="J11" s="97">
        <f t="shared" si="3"/>
        <v>0.91266926603335852</v>
      </c>
      <c r="K11" s="98">
        <f t="shared" si="4"/>
        <v>65.892253281557316</v>
      </c>
      <c r="O11" s="7" t="s">
        <v>155</v>
      </c>
      <c r="P11" s="97">
        <v>53.528868091186013</v>
      </c>
      <c r="Q11" s="97">
        <v>0.10861045</v>
      </c>
      <c r="R11" s="98">
        <f t="shared" si="5"/>
        <v>53.637478541186013</v>
      </c>
      <c r="S11" s="97">
        <f t="shared" si="6"/>
        <v>49.499702128922451</v>
      </c>
      <c r="T11" s="97">
        <f t="shared" si="6"/>
        <v>0.83518530597611829</v>
      </c>
      <c r="U11" s="98">
        <f t="shared" si="7"/>
        <v>50.334887434898569</v>
      </c>
      <c r="V11" s="97">
        <f t="shared" si="8"/>
        <v>49.34763946327913</v>
      </c>
      <c r="W11" s="97">
        <f t="shared" si="8"/>
        <v>0.83518530597611829</v>
      </c>
      <c r="X11" s="98">
        <f t="shared" si="9"/>
        <v>50.182824769255248</v>
      </c>
      <c r="AB11" s="7" t="s">
        <v>155</v>
      </c>
      <c r="AC11" s="97">
        <v>38.687051258041841</v>
      </c>
      <c r="AD11" s="97">
        <v>0.10861045</v>
      </c>
      <c r="AE11" s="98">
        <f t="shared" si="10"/>
        <v>38.795661708041841</v>
      </c>
      <c r="AF11" s="97">
        <f t="shared" si="11"/>
        <v>33.694971824102765</v>
      </c>
      <c r="AG11" s="97">
        <f t="shared" si="11"/>
        <v>0.77638995432063962</v>
      </c>
      <c r="AH11" s="98">
        <f t="shared" si="12"/>
        <v>34.471361778423407</v>
      </c>
      <c r="AI11" s="97">
        <f t="shared" si="13"/>
        <v>33.382246725330987</v>
      </c>
      <c r="AJ11" s="97">
        <f t="shared" si="13"/>
        <v>0.77638995432063962</v>
      </c>
      <c r="AK11" s="98">
        <f t="shared" si="14"/>
        <v>34.158636679651629</v>
      </c>
      <c r="AO11" s="7" t="s">
        <v>155</v>
      </c>
      <c r="AP11" s="97">
        <v>27.810392941025654</v>
      </c>
      <c r="AQ11" s="97">
        <v>0.10861045</v>
      </c>
      <c r="AR11" s="98">
        <f t="shared" si="15"/>
        <v>27.919003391025655</v>
      </c>
      <c r="AS11" s="97">
        <f t="shared" si="16"/>
        <v>29.45432544875003</v>
      </c>
      <c r="AT11" s="97">
        <f t="shared" si="16"/>
        <v>0.77638995432063962</v>
      </c>
      <c r="AU11" s="98">
        <f t="shared" si="17"/>
        <v>30.230715403070668</v>
      </c>
      <c r="AV11" s="97">
        <f t="shared" si="18"/>
        <v>29.031992961948578</v>
      </c>
      <c r="AW11" s="97">
        <f t="shared" si="18"/>
        <v>0.77638995432063962</v>
      </c>
      <c r="AX11" s="98">
        <f t="shared" si="19"/>
        <v>29.808382916269217</v>
      </c>
      <c r="BB11" s="7" t="s">
        <v>155</v>
      </c>
      <c r="BC11" s="97">
        <v>21.667469086521272</v>
      </c>
      <c r="BD11" s="97">
        <v>0.10861045</v>
      </c>
      <c r="BE11" s="98">
        <f t="shared" si="20"/>
        <v>21.776079536521273</v>
      </c>
      <c r="BF11" s="97">
        <f t="shared" si="21"/>
        <v>26.015714821130373</v>
      </c>
      <c r="BG11" s="97">
        <f t="shared" si="21"/>
        <v>0.77638995432063962</v>
      </c>
      <c r="BH11" s="98">
        <f t="shared" si="22"/>
        <v>26.792104775451012</v>
      </c>
      <c r="BI11" s="97">
        <f t="shared" si="23"/>
        <v>25.501726944470885</v>
      </c>
      <c r="BJ11" s="97">
        <f t="shared" si="23"/>
        <v>0.77638995432063962</v>
      </c>
      <c r="BK11" s="98">
        <f t="shared" si="24"/>
        <v>26.278116898791524</v>
      </c>
      <c r="BO11" s="7" t="s">
        <v>155</v>
      </c>
      <c r="BP11" s="97">
        <v>15.91274033036764</v>
      </c>
      <c r="BQ11" s="97">
        <v>0.10861045</v>
      </c>
      <c r="BR11" s="98">
        <f t="shared" si="25"/>
        <v>16.021350780367641</v>
      </c>
      <c r="BS11" s="97">
        <f t="shared" si="26"/>
        <v>34.875306481093936</v>
      </c>
      <c r="BT11" s="97">
        <f t="shared" si="26"/>
        <v>0.77638995432063962</v>
      </c>
      <c r="BU11" s="98">
        <f t="shared" si="27"/>
        <v>35.651696435414578</v>
      </c>
      <c r="BV11" s="97">
        <f t="shared" si="28"/>
        <v>28.025807713825955</v>
      </c>
      <c r="BW11" s="97">
        <f t="shared" si="28"/>
        <v>0.77638995432063962</v>
      </c>
      <c r="BX11" s="98">
        <f t="shared" si="29"/>
        <v>28.802197668146594</v>
      </c>
    </row>
    <row r="12" spans="2:76" x14ac:dyDescent="0.35">
      <c r="B12" s="7" t="s">
        <v>156</v>
      </c>
      <c r="C12" s="97">
        <v>39.848072336855225</v>
      </c>
      <c r="D12" s="97">
        <v>1.4205499999999999E-2</v>
      </c>
      <c r="E12" s="98">
        <f t="shared" si="0"/>
        <v>39.862277836855228</v>
      </c>
      <c r="F12" s="97">
        <f t="shared" si="1"/>
        <v>41.243478526273599</v>
      </c>
      <c r="G12" s="97">
        <f t="shared" si="1"/>
        <v>0.5508790490333586</v>
      </c>
      <c r="H12" s="98">
        <f t="shared" si="2"/>
        <v>41.794357575306954</v>
      </c>
      <c r="I12" s="97">
        <f t="shared" si="3"/>
        <v>41.243397547561166</v>
      </c>
      <c r="J12" s="97">
        <f t="shared" si="3"/>
        <v>0.5508790490333586</v>
      </c>
      <c r="K12" s="98">
        <f t="shared" si="4"/>
        <v>41.794276596594521</v>
      </c>
      <c r="O12" s="7" t="s">
        <v>156</v>
      </c>
      <c r="P12" s="97">
        <v>29.553945592334987</v>
      </c>
      <c r="Q12" s="97">
        <v>1.4205499999999999E-2</v>
      </c>
      <c r="R12" s="98">
        <f t="shared" si="5"/>
        <v>29.568151092334986</v>
      </c>
      <c r="S12" s="97">
        <f t="shared" si="6"/>
        <v>28.028207448529923</v>
      </c>
      <c r="T12" s="97">
        <f t="shared" si="6"/>
        <v>1.7919930668006991</v>
      </c>
      <c r="U12" s="98">
        <f t="shared" si="7"/>
        <v>29.820200515330622</v>
      </c>
      <c r="V12" s="97">
        <f t="shared" si="8"/>
        <v>28.026734382194899</v>
      </c>
      <c r="W12" s="97">
        <f t="shared" si="8"/>
        <v>1.7919930668006991</v>
      </c>
      <c r="X12" s="98">
        <f t="shared" si="9"/>
        <v>29.818727448995599</v>
      </c>
      <c r="AB12" s="7" t="s">
        <v>156</v>
      </c>
      <c r="AC12" s="97">
        <v>18.54982197016491</v>
      </c>
      <c r="AD12" s="97">
        <v>1.4205499999999999E-2</v>
      </c>
      <c r="AE12" s="98">
        <f t="shared" si="10"/>
        <v>18.564027470164909</v>
      </c>
      <c r="AF12" s="97">
        <f t="shared" si="11"/>
        <v>16.87921469292613</v>
      </c>
      <c r="AG12" s="97">
        <f t="shared" si="11"/>
        <v>0.62868953786201598</v>
      </c>
      <c r="AH12" s="98">
        <f t="shared" si="12"/>
        <v>17.507904230788146</v>
      </c>
      <c r="AI12" s="97">
        <f t="shared" si="13"/>
        <v>16.763707580545823</v>
      </c>
      <c r="AJ12" s="97">
        <f t="shared" si="13"/>
        <v>0.62868953786201598</v>
      </c>
      <c r="AK12" s="98">
        <f t="shared" si="14"/>
        <v>17.392397118407839</v>
      </c>
      <c r="AO12" s="7" t="s">
        <v>156</v>
      </c>
      <c r="AP12" s="97">
        <v>9.8748272514136168</v>
      </c>
      <c r="AQ12" s="97">
        <v>1.4205499999999999E-2</v>
      </c>
      <c r="AR12" s="98">
        <f t="shared" si="15"/>
        <v>9.889032751413616</v>
      </c>
      <c r="AS12" s="97">
        <f t="shared" si="16"/>
        <v>13.090250614608843</v>
      </c>
      <c r="AT12" s="97">
        <f t="shared" si="16"/>
        <v>0.62868953786201598</v>
      </c>
      <c r="AU12" s="98">
        <f t="shared" si="17"/>
        <v>13.718940152470859</v>
      </c>
      <c r="AV12" s="97">
        <f t="shared" si="18"/>
        <v>12.85802300106911</v>
      </c>
      <c r="AW12" s="97">
        <f t="shared" si="18"/>
        <v>0.62868953786201598</v>
      </c>
      <c r="AX12" s="98">
        <f t="shared" si="19"/>
        <v>13.486712538931126</v>
      </c>
      <c r="BB12" s="7" t="s">
        <v>156</v>
      </c>
      <c r="BC12" s="97">
        <v>4.4573557728061868</v>
      </c>
      <c r="BD12" s="97">
        <v>1.4205499999999999E-2</v>
      </c>
      <c r="BE12" s="98">
        <f t="shared" si="20"/>
        <v>4.4715612728061869</v>
      </c>
      <c r="BF12" s="97">
        <f t="shared" si="21"/>
        <v>8.0279706758138101</v>
      </c>
      <c r="BG12" s="97">
        <f t="shared" si="21"/>
        <v>0.62868953786201598</v>
      </c>
      <c r="BH12" s="98">
        <f t="shared" si="22"/>
        <v>8.6566602136758259</v>
      </c>
      <c r="BI12" s="97">
        <f t="shared" si="23"/>
        <v>7.7990066407223635</v>
      </c>
      <c r="BJ12" s="97">
        <f t="shared" si="23"/>
        <v>0.62868953786201598</v>
      </c>
      <c r="BK12" s="98">
        <f t="shared" si="24"/>
        <v>8.4276961785843802</v>
      </c>
      <c r="BO12" s="7" t="s">
        <v>156</v>
      </c>
      <c r="BP12" s="97">
        <v>0.64212800156924865</v>
      </c>
      <c r="BQ12" s="97">
        <v>1.4205499999999999E-2</v>
      </c>
      <c r="BR12" s="98">
        <f t="shared" si="25"/>
        <v>0.65633350156924863</v>
      </c>
      <c r="BS12" s="97">
        <f t="shared" si="26"/>
        <v>29.833098086084931</v>
      </c>
      <c r="BT12" s="97">
        <f t="shared" si="26"/>
        <v>0.62868953786201598</v>
      </c>
      <c r="BU12" s="98">
        <f t="shared" si="27"/>
        <v>30.461787623946947</v>
      </c>
      <c r="BV12" s="97">
        <f t="shared" si="28"/>
        <v>5.7695069211517218</v>
      </c>
      <c r="BW12" s="97">
        <f t="shared" si="28"/>
        <v>0.62868953786201598</v>
      </c>
      <c r="BX12" s="98">
        <f t="shared" si="29"/>
        <v>6.3981964590137377</v>
      </c>
    </row>
    <row r="13" spans="2:76" x14ac:dyDescent="0.35">
      <c r="B13" s="7" t="s">
        <v>8</v>
      </c>
      <c r="C13" s="97">
        <v>120.67291208260752</v>
      </c>
      <c r="D13" s="97">
        <v>0.14506745500000004</v>
      </c>
      <c r="E13" s="98">
        <f t="shared" si="0"/>
        <v>120.81797953760753</v>
      </c>
      <c r="F13" s="97">
        <f t="shared" si="1"/>
        <v>116.09816498173997</v>
      </c>
      <c r="G13" s="97">
        <f t="shared" si="1"/>
        <v>0.51860806803335846</v>
      </c>
      <c r="H13" s="98">
        <f t="shared" si="2"/>
        <v>116.61677304977333</v>
      </c>
      <c r="I13" s="97">
        <f t="shared" si="3"/>
        <v>118.67577307102593</v>
      </c>
      <c r="J13" s="97">
        <f t="shared" si="3"/>
        <v>0.51860806803335846</v>
      </c>
      <c r="K13" s="98">
        <f t="shared" si="4"/>
        <v>119.19438113905929</v>
      </c>
      <c r="O13" s="7" t="s">
        <v>8</v>
      </c>
      <c r="P13" s="97">
        <v>109.82802087266644</v>
      </c>
      <c r="Q13" s="97">
        <v>0.14506745500000004</v>
      </c>
      <c r="R13" s="98">
        <f t="shared" si="5"/>
        <v>109.97308832766645</v>
      </c>
      <c r="S13" s="97">
        <f t="shared" si="6"/>
        <v>97.366145139231236</v>
      </c>
      <c r="T13" s="97">
        <f t="shared" si="6"/>
        <v>1.5132886089854025</v>
      </c>
      <c r="U13" s="98">
        <f t="shared" si="7"/>
        <v>98.879433748216641</v>
      </c>
      <c r="V13" s="97">
        <f t="shared" si="8"/>
        <v>99.848065201570378</v>
      </c>
      <c r="W13" s="97">
        <f t="shared" si="8"/>
        <v>1.5132886089854025</v>
      </c>
      <c r="X13" s="98">
        <f t="shared" si="9"/>
        <v>101.36135381055578</v>
      </c>
      <c r="AB13" s="7" t="s">
        <v>8</v>
      </c>
      <c r="AC13" s="97">
        <v>96.901516210665093</v>
      </c>
      <c r="AD13" s="97">
        <v>0.14506745500000004</v>
      </c>
      <c r="AE13" s="98">
        <f t="shared" si="10"/>
        <v>97.046583665665096</v>
      </c>
      <c r="AF13" s="97">
        <f t="shared" si="11"/>
        <v>73.763531122680831</v>
      </c>
      <c r="AG13" s="97">
        <f t="shared" si="11"/>
        <v>0.74868446532063959</v>
      </c>
      <c r="AH13" s="98">
        <f t="shared" si="12"/>
        <v>74.512215588001467</v>
      </c>
      <c r="AI13" s="97">
        <f t="shared" si="13"/>
        <v>75.895827209374232</v>
      </c>
      <c r="AJ13" s="97">
        <f t="shared" si="13"/>
        <v>0.74868446532063959</v>
      </c>
      <c r="AK13" s="98">
        <f t="shared" si="14"/>
        <v>76.644511674694868</v>
      </c>
      <c r="AO13" s="7" t="s">
        <v>8</v>
      </c>
      <c r="AP13" s="97">
        <v>80.930616814653391</v>
      </c>
      <c r="AQ13" s="97">
        <v>0.14506745500000004</v>
      </c>
      <c r="AR13" s="98">
        <f t="shared" si="15"/>
        <v>81.075684269653394</v>
      </c>
      <c r="AS13" s="97">
        <f t="shared" si="16"/>
        <v>62.038081786750737</v>
      </c>
      <c r="AT13" s="97">
        <f t="shared" si="16"/>
        <v>0.74868446532063959</v>
      </c>
      <c r="AU13" s="98">
        <f t="shared" si="17"/>
        <v>62.786766252071374</v>
      </c>
      <c r="AV13" s="97">
        <f t="shared" si="18"/>
        <v>64.049042147353404</v>
      </c>
      <c r="AW13" s="97">
        <f t="shared" si="18"/>
        <v>0.74868446532063959</v>
      </c>
      <c r="AX13" s="98">
        <f t="shared" si="19"/>
        <v>64.79772661267404</v>
      </c>
      <c r="BB13" s="7" t="s">
        <v>8</v>
      </c>
      <c r="BC13" s="97">
        <v>64.831167107741607</v>
      </c>
      <c r="BD13" s="97">
        <v>0.14506745500000004</v>
      </c>
      <c r="BE13" s="98">
        <f t="shared" si="20"/>
        <v>64.97623456274161</v>
      </c>
      <c r="BF13" s="97">
        <f t="shared" si="21"/>
        <v>57.567424081496561</v>
      </c>
      <c r="BG13" s="97">
        <f t="shared" si="21"/>
        <v>0.74868446532063959</v>
      </c>
      <c r="BH13" s="98">
        <f t="shared" si="22"/>
        <v>58.316108546817198</v>
      </c>
      <c r="BI13" s="97">
        <f t="shared" si="23"/>
        <v>57.426601153121467</v>
      </c>
      <c r="BJ13" s="97">
        <f t="shared" si="23"/>
        <v>0.74868446532063959</v>
      </c>
      <c r="BK13" s="98">
        <f t="shared" si="24"/>
        <v>58.175285618442103</v>
      </c>
      <c r="BO13" s="7" t="s">
        <v>8</v>
      </c>
      <c r="BP13" s="97">
        <v>48.648597309123197</v>
      </c>
      <c r="BQ13" s="97">
        <v>0.14506745500000004</v>
      </c>
      <c r="BR13" s="98">
        <f t="shared" si="25"/>
        <v>48.7936647641232</v>
      </c>
      <c r="BS13" s="97">
        <f t="shared" si="26"/>
        <v>63.326136146401616</v>
      </c>
      <c r="BT13" s="97">
        <f t="shared" si="26"/>
        <v>0.74868446532063959</v>
      </c>
      <c r="BU13" s="98">
        <f t="shared" si="27"/>
        <v>64.074820611722259</v>
      </c>
      <c r="BV13" s="97">
        <f t="shared" si="28"/>
        <v>57.298530964533391</v>
      </c>
      <c r="BW13" s="97">
        <f t="shared" si="28"/>
        <v>0.74868446532063959</v>
      </c>
      <c r="BX13" s="98">
        <f t="shared" si="29"/>
        <v>58.047215429854027</v>
      </c>
    </row>
    <row r="14" spans="2:76" x14ac:dyDescent="0.35">
      <c r="B14" s="7" t="s">
        <v>157</v>
      </c>
      <c r="C14" s="97">
        <v>289.74099819939954</v>
      </c>
      <c r="D14" s="97">
        <v>0.173824486</v>
      </c>
      <c r="E14" s="98">
        <f t="shared" si="0"/>
        <v>289.91482268539954</v>
      </c>
      <c r="F14" s="97">
        <f t="shared" si="1"/>
        <v>295.50288310498331</v>
      </c>
      <c r="G14" s="97">
        <f t="shared" si="1"/>
        <v>0.63941100103335846</v>
      </c>
      <c r="H14" s="98">
        <f t="shared" si="2"/>
        <v>296.14229410601666</v>
      </c>
      <c r="I14" s="97">
        <f t="shared" si="3"/>
        <v>294.41337799655633</v>
      </c>
      <c r="J14" s="97">
        <f t="shared" si="3"/>
        <v>0.63941100103335846</v>
      </c>
      <c r="K14" s="98">
        <f t="shared" si="4"/>
        <v>295.05278899758969</v>
      </c>
      <c r="O14" s="7" t="s">
        <v>157</v>
      </c>
      <c r="P14" s="97">
        <v>259.19438667664372</v>
      </c>
      <c r="Q14" s="97">
        <v>0.173824486</v>
      </c>
      <c r="R14" s="98">
        <f t="shared" si="5"/>
        <v>259.36821116264372</v>
      </c>
      <c r="S14" s="97">
        <f t="shared" si="6"/>
        <v>266.17620483829461</v>
      </c>
      <c r="T14" s="97">
        <f t="shared" si="6"/>
        <v>1.3838090489854025</v>
      </c>
      <c r="U14" s="98">
        <f t="shared" si="7"/>
        <v>267.56001388728004</v>
      </c>
      <c r="V14" s="97">
        <f t="shared" si="8"/>
        <v>265.17434589561452</v>
      </c>
      <c r="W14" s="97">
        <f t="shared" si="8"/>
        <v>1.3838090489854025</v>
      </c>
      <c r="X14" s="98">
        <f t="shared" si="9"/>
        <v>266.55815494459995</v>
      </c>
      <c r="AB14" s="7" t="s">
        <v>157</v>
      </c>
      <c r="AC14" s="97">
        <v>227.43427691536198</v>
      </c>
      <c r="AD14" s="97">
        <v>0.173824486</v>
      </c>
      <c r="AE14" s="98">
        <f t="shared" si="10"/>
        <v>227.60810140136198</v>
      </c>
      <c r="AF14" s="97">
        <f t="shared" si="11"/>
        <v>230.49564734504841</v>
      </c>
      <c r="AG14" s="97">
        <f t="shared" si="11"/>
        <v>0.77669376032063964</v>
      </c>
      <c r="AH14" s="98">
        <f t="shared" si="12"/>
        <v>231.27234110536904</v>
      </c>
      <c r="AI14" s="97">
        <f t="shared" si="13"/>
        <v>229.68362282605133</v>
      </c>
      <c r="AJ14" s="97">
        <f t="shared" si="13"/>
        <v>0.77669376032063964</v>
      </c>
      <c r="AK14" s="98">
        <f t="shared" si="14"/>
        <v>230.46031658637196</v>
      </c>
      <c r="AO14" s="7" t="s">
        <v>157</v>
      </c>
      <c r="AP14" s="97">
        <v>195.47118366662119</v>
      </c>
      <c r="AQ14" s="97">
        <v>0.173824486</v>
      </c>
      <c r="AR14" s="98">
        <f t="shared" si="15"/>
        <v>195.64500815262119</v>
      </c>
      <c r="AS14" s="97">
        <f t="shared" si="16"/>
        <v>196.79735769104005</v>
      </c>
      <c r="AT14" s="97">
        <f t="shared" si="16"/>
        <v>0.77669376032063964</v>
      </c>
      <c r="AU14" s="98">
        <f t="shared" si="17"/>
        <v>197.57405145136067</v>
      </c>
      <c r="AV14" s="97">
        <f t="shared" si="18"/>
        <v>196.17840065791117</v>
      </c>
      <c r="AW14" s="97">
        <f t="shared" si="18"/>
        <v>0.77669376032063964</v>
      </c>
      <c r="AX14" s="98">
        <f t="shared" si="19"/>
        <v>196.95509441823179</v>
      </c>
      <c r="BB14" s="7" t="s">
        <v>157</v>
      </c>
      <c r="BC14" s="97">
        <v>162.38045252850111</v>
      </c>
      <c r="BD14" s="97">
        <v>0.173824486</v>
      </c>
      <c r="BE14" s="98">
        <f t="shared" si="20"/>
        <v>162.55427701450111</v>
      </c>
      <c r="BF14" s="97">
        <f t="shared" si="21"/>
        <v>164.18645794086521</v>
      </c>
      <c r="BG14" s="97">
        <f t="shared" si="21"/>
        <v>0.77669376032063964</v>
      </c>
      <c r="BH14" s="98">
        <f t="shared" si="22"/>
        <v>164.96315170118584</v>
      </c>
      <c r="BI14" s="97">
        <f t="shared" si="23"/>
        <v>161.46832665373333</v>
      </c>
      <c r="BJ14" s="97">
        <f t="shared" si="23"/>
        <v>0.77669376032063964</v>
      </c>
      <c r="BK14" s="98">
        <f t="shared" si="24"/>
        <v>162.24502041405395</v>
      </c>
      <c r="BO14" s="7" t="s">
        <v>157</v>
      </c>
      <c r="BP14" s="97">
        <v>128.21014874228601</v>
      </c>
      <c r="BQ14" s="97">
        <v>0.173824486</v>
      </c>
      <c r="BR14" s="98">
        <f t="shared" si="25"/>
        <v>128.38397322828601</v>
      </c>
      <c r="BS14" s="97">
        <f t="shared" si="26"/>
        <v>167.84886466128162</v>
      </c>
      <c r="BT14" s="97">
        <f t="shared" si="26"/>
        <v>0.77669376032063964</v>
      </c>
      <c r="BU14" s="98">
        <f t="shared" si="27"/>
        <v>168.62555842160225</v>
      </c>
      <c r="BV14" s="97">
        <f t="shared" si="28"/>
        <v>142.98105682150077</v>
      </c>
      <c r="BW14" s="97">
        <f t="shared" si="28"/>
        <v>0.77669376032063964</v>
      </c>
      <c r="BX14" s="98">
        <f t="shared" si="29"/>
        <v>143.7577505818214</v>
      </c>
    </row>
    <row r="15" spans="2:76" x14ac:dyDescent="0.35">
      <c r="B15" s="7" t="s">
        <v>158</v>
      </c>
      <c r="C15" s="97">
        <v>722.10876444316591</v>
      </c>
      <c r="D15" s="97">
        <v>5.0390520000000001E-2</v>
      </c>
      <c r="E15" s="98">
        <f t="shared" si="0"/>
        <v>722.15915496316586</v>
      </c>
      <c r="F15" s="97">
        <f t="shared" si="1"/>
        <v>763.30443874514242</v>
      </c>
      <c r="G15" s="97">
        <f t="shared" si="1"/>
        <v>2.1339220921721003</v>
      </c>
      <c r="H15" s="98">
        <f t="shared" si="2"/>
        <v>765.43836083731458</v>
      </c>
      <c r="I15" s="97">
        <f t="shared" si="3"/>
        <v>755.84688294412376</v>
      </c>
      <c r="J15" s="97">
        <f t="shared" si="3"/>
        <v>2.1339220921721003</v>
      </c>
      <c r="K15" s="98">
        <f t="shared" si="4"/>
        <v>757.98080503629592</v>
      </c>
      <c r="O15" s="7" t="s">
        <v>158</v>
      </c>
      <c r="P15" s="97">
        <v>673.98835733668807</v>
      </c>
      <c r="Q15" s="97">
        <v>5.0390520000000001E-2</v>
      </c>
      <c r="R15" s="98">
        <f t="shared" si="5"/>
        <v>674.03874785668802</v>
      </c>
      <c r="S15" s="97">
        <f t="shared" si="6"/>
        <v>755.5997720941134</v>
      </c>
      <c r="T15" s="97">
        <f t="shared" si="6"/>
        <v>4.0969040357971265</v>
      </c>
      <c r="U15" s="98">
        <f t="shared" si="7"/>
        <v>759.69667612991054</v>
      </c>
      <c r="V15" s="97">
        <f t="shared" si="8"/>
        <v>748.42989315829595</v>
      </c>
      <c r="W15" s="97">
        <f t="shared" si="8"/>
        <v>4.0969040357971265</v>
      </c>
      <c r="X15" s="98">
        <f t="shared" si="9"/>
        <v>752.52679719409309</v>
      </c>
      <c r="AB15" s="7" t="s">
        <v>158</v>
      </c>
      <c r="AC15" s="97">
        <v>620.68578727047588</v>
      </c>
      <c r="AD15" s="97">
        <v>5.0390520000000001E-2</v>
      </c>
      <c r="AE15" s="98">
        <f t="shared" si="10"/>
        <v>620.73617779047584</v>
      </c>
      <c r="AF15" s="97">
        <f t="shared" si="11"/>
        <v>665.8811526966947</v>
      </c>
      <c r="AG15" s="97">
        <f t="shared" si="11"/>
        <v>3.3157633865897327</v>
      </c>
      <c r="AH15" s="98">
        <f t="shared" si="12"/>
        <v>669.19691608328446</v>
      </c>
      <c r="AI15" s="97">
        <f t="shared" si="13"/>
        <v>659.77839409262265</v>
      </c>
      <c r="AJ15" s="97">
        <f t="shared" si="13"/>
        <v>3.3157633865897327</v>
      </c>
      <c r="AK15" s="98">
        <f t="shared" si="14"/>
        <v>663.09415747921241</v>
      </c>
      <c r="AO15" s="7" t="s">
        <v>158</v>
      </c>
      <c r="AP15" s="97">
        <v>565.39806328291309</v>
      </c>
      <c r="AQ15" s="97">
        <v>5.0390520000000001E-2</v>
      </c>
      <c r="AR15" s="98">
        <f t="shared" si="15"/>
        <v>565.44845380291304</v>
      </c>
      <c r="AS15" s="97">
        <f t="shared" si="16"/>
        <v>617.91181356054665</v>
      </c>
      <c r="AT15" s="97">
        <f t="shared" si="16"/>
        <v>3.3157633865897327</v>
      </c>
      <c r="AU15" s="98">
        <f t="shared" si="17"/>
        <v>621.22757694713641</v>
      </c>
      <c r="AV15" s="97">
        <f t="shared" si="18"/>
        <v>611.06679905536191</v>
      </c>
      <c r="AW15" s="97">
        <f t="shared" si="18"/>
        <v>3.3157633865897327</v>
      </c>
      <c r="AX15" s="98">
        <f t="shared" si="19"/>
        <v>614.38256244195168</v>
      </c>
      <c r="BB15" s="7" t="s">
        <v>158</v>
      </c>
      <c r="BC15" s="97">
        <v>507.35601343935383</v>
      </c>
      <c r="BD15" s="97">
        <v>5.0390520000000001E-2</v>
      </c>
      <c r="BE15" s="98">
        <f t="shared" si="20"/>
        <v>507.40640395935384</v>
      </c>
      <c r="BF15" s="97">
        <f t="shared" si="21"/>
        <v>566.10580837291025</v>
      </c>
      <c r="BG15" s="97">
        <f t="shared" si="21"/>
        <v>3.3157633865897327</v>
      </c>
      <c r="BH15" s="98">
        <f t="shared" si="22"/>
        <v>569.42157175950001</v>
      </c>
      <c r="BI15" s="97">
        <f t="shared" si="23"/>
        <v>554.07432738745172</v>
      </c>
      <c r="BJ15" s="97">
        <f t="shared" si="23"/>
        <v>3.3157633865897327</v>
      </c>
      <c r="BK15" s="98">
        <f t="shared" si="24"/>
        <v>557.39009077404148</v>
      </c>
      <c r="BO15" s="7" t="s">
        <v>158</v>
      </c>
      <c r="BP15" s="97">
        <v>446.72574845211341</v>
      </c>
      <c r="BQ15" s="97">
        <v>5.0390520000000001E-2</v>
      </c>
      <c r="BR15" s="98">
        <f t="shared" si="25"/>
        <v>446.77613897211342</v>
      </c>
      <c r="BS15" s="97">
        <f t="shared" si="26"/>
        <v>572.02180012931069</v>
      </c>
      <c r="BT15" s="97">
        <f t="shared" si="26"/>
        <v>3.3157633865897327</v>
      </c>
      <c r="BU15" s="98">
        <f t="shared" si="27"/>
        <v>575.33756351590046</v>
      </c>
      <c r="BV15" s="97">
        <f t="shared" si="28"/>
        <v>519.34159311699398</v>
      </c>
      <c r="BW15" s="97">
        <f t="shared" si="28"/>
        <v>3.3157633865897327</v>
      </c>
      <c r="BX15" s="98">
        <f t="shared" si="29"/>
        <v>522.65735650358374</v>
      </c>
    </row>
    <row r="16" spans="2:76" x14ac:dyDescent="0.35">
      <c r="B16" s="7" t="s">
        <v>159</v>
      </c>
      <c r="C16" s="97">
        <v>389.83868664156881</v>
      </c>
      <c r="D16" s="97">
        <v>2.6713473999999997E-2</v>
      </c>
      <c r="E16" s="98">
        <f t="shared" si="0"/>
        <v>389.86540011556883</v>
      </c>
      <c r="F16" s="97">
        <f t="shared" si="1"/>
        <v>385.11558995789301</v>
      </c>
      <c r="G16" s="97">
        <f t="shared" si="1"/>
        <v>1.195702235066717</v>
      </c>
      <c r="H16" s="98">
        <f t="shared" si="2"/>
        <v>386.31129219295974</v>
      </c>
      <c r="I16" s="97">
        <f t="shared" si="3"/>
        <v>385.115808280826</v>
      </c>
      <c r="J16" s="97">
        <f t="shared" si="3"/>
        <v>1.195702235066717</v>
      </c>
      <c r="K16" s="98">
        <f t="shared" si="4"/>
        <v>386.31151051589273</v>
      </c>
      <c r="O16" s="7" t="s">
        <v>159</v>
      </c>
      <c r="P16" s="97">
        <v>368.57088668808638</v>
      </c>
      <c r="Q16" s="97">
        <v>2.6713473999999997E-2</v>
      </c>
      <c r="R16" s="98">
        <f t="shared" si="5"/>
        <v>368.59760016208639</v>
      </c>
      <c r="S16" s="97">
        <f t="shared" si="6"/>
        <v>386.8991037805547</v>
      </c>
      <c r="T16" s="97">
        <f t="shared" si="6"/>
        <v>2.7806292029708048</v>
      </c>
      <c r="U16" s="98">
        <f t="shared" si="7"/>
        <v>389.67973298352553</v>
      </c>
      <c r="V16" s="97">
        <f t="shared" si="8"/>
        <v>386.8991649386835</v>
      </c>
      <c r="W16" s="97">
        <f t="shared" si="8"/>
        <v>2.7806292029708048</v>
      </c>
      <c r="X16" s="98">
        <f t="shared" si="9"/>
        <v>389.67979414165433</v>
      </c>
      <c r="AB16" s="7" t="s">
        <v>159</v>
      </c>
      <c r="AC16" s="97">
        <v>345.59752208134228</v>
      </c>
      <c r="AD16" s="97">
        <v>2.6713473999999997E-2</v>
      </c>
      <c r="AE16" s="98">
        <f t="shared" si="10"/>
        <v>345.6242355553423</v>
      </c>
      <c r="AF16" s="97">
        <f t="shared" si="11"/>
        <v>345.16905126605201</v>
      </c>
      <c r="AG16" s="97">
        <f t="shared" si="11"/>
        <v>1.5678004116412791</v>
      </c>
      <c r="AH16" s="98">
        <f t="shared" si="12"/>
        <v>346.73685167769327</v>
      </c>
      <c r="AI16" s="97">
        <f t="shared" si="13"/>
        <v>345.168985384775</v>
      </c>
      <c r="AJ16" s="97">
        <f t="shared" si="13"/>
        <v>1.5678004116412791</v>
      </c>
      <c r="AK16" s="98">
        <f t="shared" si="14"/>
        <v>346.73678579641626</v>
      </c>
      <c r="AO16" s="7" t="s">
        <v>159</v>
      </c>
      <c r="AP16" s="97">
        <v>318.29019069689895</v>
      </c>
      <c r="AQ16" s="97">
        <v>2.6713473999999997E-2</v>
      </c>
      <c r="AR16" s="98">
        <f t="shared" si="15"/>
        <v>318.31690417089897</v>
      </c>
      <c r="AS16" s="97">
        <f t="shared" si="16"/>
        <v>325.18864079694407</v>
      </c>
      <c r="AT16" s="97">
        <f t="shared" si="16"/>
        <v>1.5678004116412791</v>
      </c>
      <c r="AU16" s="98">
        <f t="shared" si="17"/>
        <v>326.75644120858533</v>
      </c>
      <c r="AV16" s="97">
        <f t="shared" si="18"/>
        <v>325.18864075746484</v>
      </c>
      <c r="AW16" s="97">
        <f t="shared" si="18"/>
        <v>1.5678004116412791</v>
      </c>
      <c r="AX16" s="98">
        <f t="shared" si="19"/>
        <v>326.7564411691061</v>
      </c>
      <c r="BB16" s="7" t="s">
        <v>159</v>
      </c>
      <c r="BC16" s="97">
        <v>289.20303405970782</v>
      </c>
      <c r="BD16" s="97">
        <v>2.6713473999999997E-2</v>
      </c>
      <c r="BE16" s="98">
        <f t="shared" si="20"/>
        <v>289.22974753370784</v>
      </c>
      <c r="BF16" s="97">
        <f t="shared" si="21"/>
        <v>307.53583484006521</v>
      </c>
      <c r="BG16" s="97">
        <f t="shared" si="21"/>
        <v>1.5678004116412791</v>
      </c>
      <c r="BH16" s="98">
        <f t="shared" si="22"/>
        <v>309.10363525170646</v>
      </c>
      <c r="BI16" s="97">
        <f t="shared" si="23"/>
        <v>306.76907608849143</v>
      </c>
      <c r="BJ16" s="97">
        <f t="shared" si="23"/>
        <v>1.5678004116412791</v>
      </c>
      <c r="BK16" s="98">
        <f t="shared" si="24"/>
        <v>308.33687650013269</v>
      </c>
      <c r="BO16" s="7" t="s">
        <v>159</v>
      </c>
      <c r="BP16" s="97">
        <v>258.44016128705937</v>
      </c>
      <c r="BQ16" s="97">
        <v>2.6713473999999997E-2</v>
      </c>
      <c r="BR16" s="98">
        <f t="shared" si="25"/>
        <v>258.46687476105939</v>
      </c>
      <c r="BS16" s="97">
        <f t="shared" si="26"/>
        <v>294.90762073518636</v>
      </c>
      <c r="BT16" s="97">
        <f t="shared" si="26"/>
        <v>1.5678004116412791</v>
      </c>
      <c r="BU16" s="98">
        <f t="shared" si="27"/>
        <v>296.47542114682761</v>
      </c>
      <c r="BV16" s="97">
        <f t="shared" si="28"/>
        <v>289.230794507518</v>
      </c>
      <c r="BW16" s="97">
        <f t="shared" si="28"/>
        <v>1.5678004116412791</v>
      </c>
      <c r="BX16" s="98">
        <f t="shared" si="29"/>
        <v>290.79859491915926</v>
      </c>
    </row>
    <row r="17" spans="1:76" x14ac:dyDescent="0.35">
      <c r="B17" s="7" t="s">
        <v>160</v>
      </c>
      <c r="C17" s="97">
        <v>119.14570540790909</v>
      </c>
      <c r="D17" s="97">
        <v>3.2708159999999997E-3</v>
      </c>
      <c r="E17" s="98">
        <f t="shared" si="0"/>
        <v>119.14897622390909</v>
      </c>
      <c r="F17" s="97">
        <f t="shared" si="1"/>
        <v>123.43068074588929</v>
      </c>
      <c r="G17" s="97">
        <f t="shared" si="1"/>
        <v>0.23637979651667929</v>
      </c>
      <c r="H17" s="98">
        <f t="shared" si="2"/>
        <v>123.66706054240596</v>
      </c>
      <c r="I17" s="97">
        <f t="shared" si="3"/>
        <v>123.42866921921531</v>
      </c>
      <c r="J17" s="97">
        <f t="shared" si="3"/>
        <v>0.23637979651667929</v>
      </c>
      <c r="K17" s="98">
        <f t="shared" si="4"/>
        <v>123.66504901573198</v>
      </c>
      <c r="O17" s="7" t="s">
        <v>160</v>
      </c>
      <c r="P17" s="97">
        <v>113.41592742339962</v>
      </c>
      <c r="Q17" s="97">
        <v>3.2708159999999997E-3</v>
      </c>
      <c r="R17" s="98">
        <f t="shared" si="5"/>
        <v>113.41919823939962</v>
      </c>
      <c r="S17" s="97">
        <f t="shared" si="6"/>
        <v>122.13635707509728</v>
      </c>
      <c r="T17" s="97">
        <f t="shared" si="6"/>
        <v>1.1465754571485371</v>
      </c>
      <c r="U17" s="98">
        <f t="shared" si="7"/>
        <v>123.28293253224582</v>
      </c>
      <c r="V17" s="97">
        <f t="shared" si="8"/>
        <v>122.13252306269099</v>
      </c>
      <c r="W17" s="97">
        <f t="shared" si="8"/>
        <v>1.1465754571485371</v>
      </c>
      <c r="X17" s="98">
        <f t="shared" si="9"/>
        <v>123.27909851983954</v>
      </c>
      <c r="AB17" s="7" t="s">
        <v>160</v>
      </c>
      <c r="AC17" s="97">
        <v>107.23275308171657</v>
      </c>
      <c r="AD17" s="97">
        <v>3.2708159999999997E-3</v>
      </c>
      <c r="AE17" s="98">
        <f t="shared" si="10"/>
        <v>107.23602389771656</v>
      </c>
      <c r="AF17" s="97">
        <f t="shared" si="11"/>
        <v>109.45653573253793</v>
      </c>
      <c r="AG17" s="97">
        <f t="shared" si="11"/>
        <v>0.42725292366031975</v>
      </c>
      <c r="AH17" s="98">
        <f t="shared" si="12"/>
        <v>109.88378865619825</v>
      </c>
      <c r="AI17" s="97">
        <f t="shared" si="13"/>
        <v>109.45302987339169</v>
      </c>
      <c r="AJ17" s="97">
        <f t="shared" si="13"/>
        <v>0.42725292366031975</v>
      </c>
      <c r="AK17" s="98">
        <f t="shared" si="14"/>
        <v>109.880282797052</v>
      </c>
      <c r="AO17" s="7" t="s">
        <v>160</v>
      </c>
      <c r="AP17" s="97">
        <v>99.685562663507739</v>
      </c>
      <c r="AQ17" s="97">
        <v>3.2708159999999997E-3</v>
      </c>
      <c r="AR17" s="98">
        <f t="shared" si="15"/>
        <v>99.688833479507736</v>
      </c>
      <c r="AS17" s="97">
        <f t="shared" si="16"/>
        <v>104.10744273278489</v>
      </c>
      <c r="AT17" s="97">
        <f t="shared" si="16"/>
        <v>0.42725292366031975</v>
      </c>
      <c r="AU17" s="98">
        <f t="shared" si="17"/>
        <v>104.53469565644521</v>
      </c>
      <c r="AV17" s="97">
        <f t="shared" si="18"/>
        <v>104.10314949894547</v>
      </c>
      <c r="AW17" s="97">
        <f t="shared" si="18"/>
        <v>0.42725292366031975</v>
      </c>
      <c r="AX17" s="98">
        <f t="shared" si="19"/>
        <v>104.53040242260579</v>
      </c>
      <c r="BB17" s="7" t="s">
        <v>160</v>
      </c>
      <c r="BC17" s="97">
        <v>91.181349708271426</v>
      </c>
      <c r="BD17" s="97">
        <v>3.2708159999999997E-3</v>
      </c>
      <c r="BE17" s="98">
        <f t="shared" si="20"/>
        <v>91.184620524271423</v>
      </c>
      <c r="BF17" s="97">
        <f t="shared" si="21"/>
        <v>97.752456805658312</v>
      </c>
      <c r="BG17" s="97">
        <f t="shared" si="21"/>
        <v>0.42725292366031975</v>
      </c>
      <c r="BH17" s="98">
        <f t="shared" si="22"/>
        <v>98.179709729318631</v>
      </c>
      <c r="BI17" s="97">
        <f t="shared" si="23"/>
        <v>97.747631091707717</v>
      </c>
      <c r="BJ17" s="97">
        <f t="shared" si="23"/>
        <v>0.42725292366031975</v>
      </c>
      <c r="BK17" s="98">
        <f t="shared" si="24"/>
        <v>98.174884015368036</v>
      </c>
      <c r="BO17" s="7" t="s">
        <v>160</v>
      </c>
      <c r="BP17" s="97">
        <v>81.781559856975662</v>
      </c>
      <c r="BQ17" s="97">
        <v>3.2708159999999997E-3</v>
      </c>
      <c r="BR17" s="98">
        <f t="shared" si="25"/>
        <v>81.784830672975659</v>
      </c>
      <c r="BS17" s="97">
        <f t="shared" si="26"/>
        <v>95.350519909535734</v>
      </c>
      <c r="BT17" s="97">
        <f t="shared" si="26"/>
        <v>0.42725292366031975</v>
      </c>
      <c r="BU17" s="98">
        <f t="shared" si="27"/>
        <v>95.777772833196053</v>
      </c>
      <c r="BV17" s="97">
        <f t="shared" si="28"/>
        <v>90.560686120983632</v>
      </c>
      <c r="BW17" s="97">
        <f t="shared" si="28"/>
        <v>0.42725292366031975</v>
      </c>
      <c r="BX17" s="98">
        <f t="shared" si="29"/>
        <v>90.987939044643952</v>
      </c>
    </row>
    <row r="18" spans="1:76" x14ac:dyDescent="0.35">
      <c r="B18" s="7" t="s">
        <v>161</v>
      </c>
      <c r="C18" s="97">
        <v>4.7579124389536602</v>
      </c>
      <c r="D18" s="97">
        <v>0</v>
      </c>
      <c r="E18" s="98">
        <f t="shared" si="0"/>
        <v>4.7579124389536602</v>
      </c>
      <c r="F18" s="97">
        <f>SUM(I57:I60)</f>
        <v>3.8473740000431391</v>
      </c>
      <c r="G18" s="97">
        <f>SUM(J57:J60)</f>
        <v>1.7704524999999999E-2</v>
      </c>
      <c r="H18" s="98">
        <f t="shared" si="2"/>
        <v>3.8650785250431392</v>
      </c>
      <c r="I18" s="97">
        <f>SUM(I36:I39)</f>
        <v>3.8469127871534052</v>
      </c>
      <c r="J18" s="97">
        <f>SUM(J36:J39)</f>
        <v>1.7704524999999999E-2</v>
      </c>
      <c r="K18" s="98">
        <f t="shared" si="4"/>
        <v>3.8646173121534053</v>
      </c>
      <c r="O18" s="7" t="s">
        <v>161</v>
      </c>
      <c r="P18" s="97">
        <v>6.0210822118020291</v>
      </c>
      <c r="Q18" s="97">
        <v>0</v>
      </c>
      <c r="R18" s="98">
        <f t="shared" si="5"/>
        <v>6.0210822118020291</v>
      </c>
      <c r="S18" s="97">
        <f>SUM(V57:V60)</f>
        <v>2.2795149287272212</v>
      </c>
      <c r="T18" s="97">
        <f>SUM(W57:W60)</f>
        <v>3.3568999999999999E-3</v>
      </c>
      <c r="U18" s="98">
        <f t="shared" si="7"/>
        <v>2.2828718287272212</v>
      </c>
      <c r="V18" s="97">
        <f>SUM(V36:V39)</f>
        <v>2.1682289774547572</v>
      </c>
      <c r="W18" s="97">
        <f>SUM(W36:W39)</f>
        <v>3.3568999999999999E-3</v>
      </c>
      <c r="X18" s="98">
        <f t="shared" si="9"/>
        <v>2.1715858774547572</v>
      </c>
      <c r="AB18" s="7" t="s">
        <v>161</v>
      </c>
      <c r="AC18" s="97">
        <v>10.566260732072779</v>
      </c>
      <c r="AD18" s="97">
        <v>0</v>
      </c>
      <c r="AE18" s="98">
        <f t="shared" si="10"/>
        <v>10.566260732072779</v>
      </c>
      <c r="AF18" s="97">
        <f>SUM(AI57:AI60)</f>
        <v>1.8403421322646971</v>
      </c>
      <c r="AG18" s="97">
        <f>SUM(AJ57:AJ60)</f>
        <v>1.617043E-2</v>
      </c>
      <c r="AH18" s="98">
        <f t="shared" si="12"/>
        <v>1.8565125622646972</v>
      </c>
      <c r="AI18" s="97">
        <f>SUM(AI36:AI39)</f>
        <v>1.0929787178385209</v>
      </c>
      <c r="AJ18" s="97">
        <f>SUM(AJ36:AJ39)</f>
        <v>1.617043E-2</v>
      </c>
      <c r="AK18" s="98">
        <f t="shared" si="14"/>
        <v>1.1091491478385209</v>
      </c>
      <c r="AO18" s="7" t="s">
        <v>161</v>
      </c>
      <c r="AP18" s="97">
        <v>13.746385645152557</v>
      </c>
      <c r="AQ18" s="97">
        <v>0</v>
      </c>
      <c r="AR18" s="98">
        <f t="shared" si="15"/>
        <v>13.746385645152557</v>
      </c>
      <c r="AS18" s="97">
        <f>SUM(AU57:AU60)</f>
        <v>3.6822861233164206</v>
      </c>
      <c r="AT18" s="97">
        <f>SUM(AV57:AV60)</f>
        <v>1.617043E-2</v>
      </c>
      <c r="AU18" s="98">
        <f t="shared" si="17"/>
        <v>3.6984565533164204</v>
      </c>
      <c r="AV18" s="97">
        <f>SUM(AU36:AU39)</f>
        <v>1.9146827237071955</v>
      </c>
      <c r="AW18" s="97">
        <f>SUM(AV36:AV39)</f>
        <v>1.617043E-2</v>
      </c>
      <c r="AX18" s="98">
        <f t="shared" si="19"/>
        <v>1.9308531537071956</v>
      </c>
      <c r="BB18" s="7" t="s">
        <v>161</v>
      </c>
      <c r="BC18" s="97">
        <v>12.417200555736176</v>
      </c>
      <c r="BD18" s="97">
        <v>0</v>
      </c>
      <c r="BE18" s="98">
        <f t="shared" si="20"/>
        <v>12.417200555736176</v>
      </c>
      <c r="BF18" s="97">
        <f>SUM(BH57:BH60)</f>
        <v>8.4137726476074395</v>
      </c>
      <c r="BG18" s="97">
        <f>SUM(BI57:BI60)</f>
        <v>1.617043E-2</v>
      </c>
      <c r="BH18" s="98">
        <f t="shared" si="22"/>
        <v>8.4299430776074402</v>
      </c>
      <c r="BI18" s="97">
        <f>SUM(BH36:BH39)</f>
        <v>5.5261513033750367</v>
      </c>
      <c r="BJ18" s="97">
        <f>SUM(BI36:BI39)</f>
        <v>1.617043E-2</v>
      </c>
      <c r="BK18" s="98">
        <f t="shared" si="24"/>
        <v>5.5423217333750365</v>
      </c>
      <c r="BO18" s="7" t="s">
        <v>161</v>
      </c>
      <c r="BP18" s="97">
        <v>10.144095771969528</v>
      </c>
      <c r="BQ18" s="97">
        <v>0</v>
      </c>
      <c r="BR18" s="98">
        <f t="shared" si="25"/>
        <v>10.144095771969528</v>
      </c>
      <c r="BS18" s="97">
        <f>SUM(BU57:BU60)</f>
        <v>15.371784074711243</v>
      </c>
      <c r="BT18" s="97">
        <f>SUM(BV57:BV60)</f>
        <v>1.617043E-2</v>
      </c>
      <c r="BU18" s="98">
        <f t="shared" si="27"/>
        <v>15.387954504711244</v>
      </c>
      <c r="BV18" s="97">
        <f>SUM(BU36:BU39)</f>
        <v>9.9937572659967273</v>
      </c>
      <c r="BW18" s="97">
        <f>SUM(BV36:BV39)</f>
        <v>1.617043E-2</v>
      </c>
      <c r="BX18" s="98">
        <f t="shared" si="29"/>
        <v>10.009927695996728</v>
      </c>
    </row>
    <row r="19" spans="1:76" x14ac:dyDescent="0.35">
      <c r="B19" s="12" t="s">
        <v>27</v>
      </c>
      <c r="C19" s="98">
        <f t="shared" ref="C19:K19" si="30">SUM(C5:C18)</f>
        <v>1823.1368297130559</v>
      </c>
      <c r="D19" s="98">
        <f t="shared" si="30"/>
        <v>6.2410964804346563</v>
      </c>
      <c r="E19" s="98">
        <f t="shared" si="30"/>
        <v>1829.3779261934903</v>
      </c>
      <c r="F19" s="98">
        <f t="shared" si="30"/>
        <v>1868.4670514419297</v>
      </c>
      <c r="G19" s="98">
        <f t="shared" si="30"/>
        <v>14.315455939811978</v>
      </c>
      <c r="H19" s="98">
        <f t="shared" si="30"/>
        <v>1882.7825073817419</v>
      </c>
      <c r="I19" s="98">
        <f t="shared" si="30"/>
        <v>1862.4407615939892</v>
      </c>
      <c r="J19" s="98">
        <f t="shared" si="30"/>
        <v>14.315455939811978</v>
      </c>
      <c r="K19" s="98">
        <f t="shared" si="30"/>
        <v>1876.756217533801</v>
      </c>
      <c r="O19" s="12" t="s">
        <v>27</v>
      </c>
      <c r="P19" s="98">
        <f t="shared" ref="P19:X19" si="31">SUM(P5:P18)</f>
        <v>1697.1150446509268</v>
      </c>
      <c r="Q19" s="98">
        <f t="shared" si="31"/>
        <v>6.2410964804346563</v>
      </c>
      <c r="R19" s="98">
        <f t="shared" si="31"/>
        <v>1703.3561411313615</v>
      </c>
      <c r="S19" s="98">
        <f t="shared" si="31"/>
        <v>1773.5742918730423</v>
      </c>
      <c r="T19" s="98">
        <f t="shared" si="31"/>
        <v>24.311201065000002</v>
      </c>
      <c r="U19" s="98">
        <f t="shared" si="31"/>
        <v>1797.8854929380423</v>
      </c>
      <c r="V19" s="98">
        <f t="shared" si="31"/>
        <v>1767.976340436396</v>
      </c>
      <c r="W19" s="98">
        <f t="shared" si="31"/>
        <v>24.311201065000002</v>
      </c>
      <c r="X19" s="98">
        <f t="shared" si="31"/>
        <v>1792.2875415013964</v>
      </c>
      <c r="AB19" s="12" t="s">
        <v>27</v>
      </c>
      <c r="AC19" s="98">
        <f t="shared" ref="AC19:AK19" si="32">SUM(AC5:AC18)</f>
        <v>1563.7044467374542</v>
      </c>
      <c r="AD19" s="98">
        <f t="shared" si="32"/>
        <v>6.2410964804346563</v>
      </c>
      <c r="AE19" s="98">
        <f t="shared" si="32"/>
        <v>1569.9455432178888</v>
      </c>
      <c r="AF19" s="98">
        <f t="shared" si="32"/>
        <v>1560.7776946160827</v>
      </c>
      <c r="AG19" s="98">
        <f t="shared" si="32"/>
        <v>12.696822864000017</v>
      </c>
      <c r="AH19" s="98">
        <f t="shared" si="32"/>
        <v>1573.4745174800828</v>
      </c>
      <c r="AI19" s="98">
        <f t="shared" si="32"/>
        <v>1555.7584702814443</v>
      </c>
      <c r="AJ19" s="98">
        <f t="shared" si="32"/>
        <v>12.696822864000017</v>
      </c>
      <c r="AK19" s="98">
        <f t="shared" si="32"/>
        <v>1568.4552931454441</v>
      </c>
      <c r="AO19" s="12" t="s">
        <v>27</v>
      </c>
      <c r="AP19" s="98">
        <f t="shared" ref="AP19:AX19" si="33">SUM(AP5:AP18)</f>
        <v>1411.7223327889865</v>
      </c>
      <c r="AQ19" s="98">
        <f t="shared" si="33"/>
        <v>6.2410964804346563</v>
      </c>
      <c r="AR19" s="98">
        <f t="shared" si="33"/>
        <v>1417.9634292694213</v>
      </c>
      <c r="AS19" s="98">
        <f t="shared" si="33"/>
        <v>1447.1145753223745</v>
      </c>
      <c r="AT19" s="98">
        <f t="shared" si="33"/>
        <v>12.696822864000017</v>
      </c>
      <c r="AU19" s="98">
        <f t="shared" si="33"/>
        <v>1459.8113981863744</v>
      </c>
      <c r="AV19" s="98">
        <f t="shared" si="33"/>
        <v>1440.4638705654711</v>
      </c>
      <c r="AW19" s="98">
        <f t="shared" si="33"/>
        <v>12.696822864000017</v>
      </c>
      <c r="AX19" s="98">
        <f t="shared" si="33"/>
        <v>1453.1606934294709</v>
      </c>
      <c r="BB19" s="12" t="s">
        <v>27</v>
      </c>
      <c r="BC19" s="98">
        <f t="shared" ref="BC19:BK19" si="34">SUM(BC5:BC18)</f>
        <v>1244.713849741989</v>
      </c>
      <c r="BD19" s="98">
        <f t="shared" si="34"/>
        <v>6.2410964804346563</v>
      </c>
      <c r="BE19" s="98">
        <f t="shared" si="34"/>
        <v>1250.9549462224236</v>
      </c>
      <c r="BF19" s="98">
        <f t="shared" si="34"/>
        <v>1361.0017186511309</v>
      </c>
      <c r="BG19" s="98">
        <f t="shared" si="34"/>
        <v>12.696822864000017</v>
      </c>
      <c r="BH19" s="98">
        <f t="shared" si="34"/>
        <v>1373.6985415151307</v>
      </c>
      <c r="BI19" s="98">
        <f t="shared" si="34"/>
        <v>1328.6604461212614</v>
      </c>
      <c r="BJ19" s="98">
        <f t="shared" si="34"/>
        <v>12.696822864000017</v>
      </c>
      <c r="BK19" s="98">
        <f t="shared" si="34"/>
        <v>1341.3572689852615</v>
      </c>
      <c r="BO19" s="12" t="s">
        <v>27</v>
      </c>
      <c r="BP19" s="98">
        <f t="shared" ref="BP19:BX19" si="35">SUM(BP5:BP18)</f>
        <v>1068.0629882675848</v>
      </c>
      <c r="BQ19" s="98">
        <f t="shared" si="35"/>
        <v>6.2410964804346563</v>
      </c>
      <c r="BR19" s="98">
        <f t="shared" si="35"/>
        <v>1074.3040847480195</v>
      </c>
      <c r="BS19" s="98">
        <f t="shared" si="35"/>
        <v>1481.8166616076105</v>
      </c>
      <c r="BT19" s="98">
        <f t="shared" si="35"/>
        <v>12.696822864000017</v>
      </c>
      <c r="BU19" s="98">
        <f t="shared" si="35"/>
        <v>1494.5134844716101</v>
      </c>
      <c r="BV19" s="98">
        <f t="shared" si="35"/>
        <v>1285.9470924242976</v>
      </c>
      <c r="BW19" s="98">
        <f t="shared" si="35"/>
        <v>12.696822864000017</v>
      </c>
      <c r="BX19" s="98">
        <f t="shared" si="35"/>
        <v>1298.6439152882976</v>
      </c>
    </row>
    <row r="21" spans="1:76" x14ac:dyDescent="0.35">
      <c r="B21" s="3" t="s">
        <v>175</v>
      </c>
      <c r="O21" s="3" t="s">
        <v>176</v>
      </c>
      <c r="AB21" s="3" t="s">
        <v>177</v>
      </c>
      <c r="AO21" s="3" t="s">
        <v>178</v>
      </c>
      <c r="BB21" s="3" t="s">
        <v>179</v>
      </c>
      <c r="BO21" s="3" t="s">
        <v>180</v>
      </c>
    </row>
    <row r="22" spans="1:76" ht="30" x14ac:dyDescent="0.35">
      <c r="B22" s="96" t="s">
        <v>170</v>
      </c>
      <c r="C22" s="96" t="s">
        <v>181</v>
      </c>
      <c r="D22" s="96" t="s">
        <v>129</v>
      </c>
      <c r="E22" s="96" t="s">
        <v>114</v>
      </c>
      <c r="F22" s="96" t="s">
        <v>19</v>
      </c>
      <c r="G22" s="96" t="s">
        <v>182</v>
      </c>
      <c r="H22" s="96" t="s">
        <v>76</v>
      </c>
      <c r="I22" s="96" t="s">
        <v>183</v>
      </c>
      <c r="J22" s="96" t="s">
        <v>184</v>
      </c>
      <c r="K22" s="96" t="s">
        <v>27</v>
      </c>
      <c r="O22" s="96" t="s">
        <v>170</v>
      </c>
      <c r="P22" s="96" t="s">
        <v>181</v>
      </c>
      <c r="Q22" s="96" t="s">
        <v>129</v>
      </c>
      <c r="R22" s="96" t="s">
        <v>114</v>
      </c>
      <c r="S22" s="96" t="s">
        <v>19</v>
      </c>
      <c r="T22" s="96" t="s">
        <v>182</v>
      </c>
      <c r="U22" s="96" t="s">
        <v>185</v>
      </c>
      <c r="V22" s="96" t="s">
        <v>183</v>
      </c>
      <c r="W22" s="96" t="s">
        <v>184</v>
      </c>
      <c r="X22" s="96" t="s">
        <v>27</v>
      </c>
      <c r="AB22" s="96" t="s">
        <v>170</v>
      </c>
      <c r="AC22" s="96" t="s">
        <v>181</v>
      </c>
      <c r="AD22" s="96" t="s">
        <v>129</v>
      </c>
      <c r="AE22" s="96" t="s">
        <v>114</v>
      </c>
      <c r="AF22" s="96" t="s">
        <v>19</v>
      </c>
      <c r="AG22" s="96" t="s">
        <v>182</v>
      </c>
      <c r="AH22" s="96" t="s">
        <v>185</v>
      </c>
      <c r="AI22" s="96" t="s">
        <v>183</v>
      </c>
      <c r="AJ22" s="96" t="s">
        <v>184</v>
      </c>
      <c r="AK22" s="96" t="s">
        <v>27</v>
      </c>
      <c r="AO22" s="96" t="s">
        <v>170</v>
      </c>
      <c r="AP22" s="96" t="s">
        <v>181</v>
      </c>
      <c r="AQ22" s="96" t="s">
        <v>114</v>
      </c>
      <c r="AR22" s="96" t="s">
        <v>19</v>
      </c>
      <c r="AS22" s="96" t="s">
        <v>182</v>
      </c>
      <c r="AT22" s="96" t="s">
        <v>185</v>
      </c>
      <c r="AU22" s="96" t="s">
        <v>183</v>
      </c>
      <c r="AV22" s="96" t="s">
        <v>184</v>
      </c>
      <c r="AW22" s="96" t="s">
        <v>27</v>
      </c>
      <c r="BB22" s="96" t="s">
        <v>170</v>
      </c>
      <c r="BC22" s="96" t="s">
        <v>181</v>
      </c>
      <c r="BD22" s="96" t="s">
        <v>114</v>
      </c>
      <c r="BE22" s="96" t="s">
        <v>19</v>
      </c>
      <c r="BF22" s="96" t="s">
        <v>182</v>
      </c>
      <c r="BG22" s="96" t="s">
        <v>185</v>
      </c>
      <c r="BH22" s="96" t="s">
        <v>183</v>
      </c>
      <c r="BI22" s="96" t="s">
        <v>184</v>
      </c>
      <c r="BJ22" s="96" t="s">
        <v>27</v>
      </c>
      <c r="BO22" s="96" t="s">
        <v>170</v>
      </c>
      <c r="BP22" s="96" t="s">
        <v>181</v>
      </c>
      <c r="BQ22" s="96" t="s">
        <v>114</v>
      </c>
      <c r="BR22" s="96" t="s">
        <v>19</v>
      </c>
      <c r="BS22" s="96" t="s">
        <v>182</v>
      </c>
      <c r="BT22" s="96" t="s">
        <v>185</v>
      </c>
      <c r="BU22" s="96" t="s">
        <v>183</v>
      </c>
      <c r="BV22" s="96" t="s">
        <v>184</v>
      </c>
      <c r="BW22" s="96" t="s">
        <v>27</v>
      </c>
    </row>
    <row r="23" spans="1:76" x14ac:dyDescent="0.35">
      <c r="B23" s="7" t="s">
        <v>43</v>
      </c>
      <c r="C23" s="9">
        <v>15.662863175839741</v>
      </c>
      <c r="D23" s="99">
        <f>D44</f>
        <v>-0.14787759694351216</v>
      </c>
      <c r="E23" s="9">
        <f>MoF!F5</f>
        <v>2.597</v>
      </c>
      <c r="F23" s="9">
        <f>MIN(C23+E23,'Depreciation (Summary)'!F25)</f>
        <v>9.495916584909196</v>
      </c>
      <c r="G23" s="9">
        <f>C23+D23+E23-F23</f>
        <v>8.6160689939870316</v>
      </c>
      <c r="H23" s="10">
        <v>0.10888672254177105</v>
      </c>
      <c r="I23" s="9">
        <f>AVERAGE(C23,G23)*H23</f>
        <v>1.3218266753932038</v>
      </c>
      <c r="J23" s="9">
        <f>J44</f>
        <v>0.50085193318802113</v>
      </c>
      <c r="K23" s="9">
        <f>SUM(I23:J23)</f>
        <v>1.8226786085812248</v>
      </c>
      <c r="O23" s="7" t="s">
        <v>43</v>
      </c>
      <c r="P23" s="9">
        <f t="shared" ref="P23:P39" si="36">G23</f>
        <v>8.6160689939870316</v>
      </c>
      <c r="Q23" s="99">
        <f>Q44</f>
        <v>0</v>
      </c>
      <c r="R23" s="9">
        <f>MoF!P5</f>
        <v>4.319</v>
      </c>
      <c r="S23" s="9">
        <f>MIN(P23+R23,'Depreciation (Summary)'!L25)</f>
        <v>8.6308075661904162</v>
      </c>
      <c r="T23" s="9">
        <f t="shared" ref="T23:T39" si="37">P23+R23-S23</f>
        <v>4.3042614277966145</v>
      </c>
      <c r="U23" s="10">
        <v>0.10373461751439103</v>
      </c>
      <c r="V23" s="9">
        <f t="shared" ref="V23:V39" si="38">AVERAGE(P23,T23)*U23</f>
        <v>0.67014276723163857</v>
      </c>
      <c r="W23" s="9">
        <f>W44</f>
        <v>0.69926879481993931</v>
      </c>
      <c r="X23" s="9">
        <f>SUM(V23:W23)</f>
        <v>1.3694115620515779</v>
      </c>
      <c r="AB23" s="7" t="s">
        <v>43</v>
      </c>
      <c r="AC23" s="9">
        <f t="shared" ref="AC23:AC39" si="39">T23</f>
        <v>4.3042614277966145</v>
      </c>
      <c r="AD23" s="100">
        <f>AD44</f>
        <v>-7.5486037261168802E-4</v>
      </c>
      <c r="AE23" s="9">
        <f>MoF!Z5</f>
        <v>1.26</v>
      </c>
      <c r="AF23" s="9">
        <f>MIN(AC23+AE23,'Depreciation (Summary)'!R25)</f>
        <v>5.5642614277966143</v>
      </c>
      <c r="AG23" s="9">
        <f t="shared" ref="AG23:AG39" si="40">AC23+AE23-AF23</f>
        <v>0</v>
      </c>
      <c r="AH23" s="10">
        <v>0.10678562227863277</v>
      </c>
      <c r="AI23" s="9">
        <f t="shared" ref="AI23:AI39" si="41">AVERAGE(AC23,AG23)*AH23</f>
        <v>0.22981661750858892</v>
      </c>
      <c r="AJ23" s="9">
        <f>AJ44</f>
        <v>0.28701044119787716</v>
      </c>
      <c r="AK23" s="9">
        <f>SUM(AI23:AJ23)</f>
        <v>0.51682705870646606</v>
      </c>
      <c r="AO23" s="7" t="s">
        <v>43</v>
      </c>
      <c r="AP23" s="9">
        <f t="shared" ref="AP23:AP39" si="42">AG23</f>
        <v>0</v>
      </c>
      <c r="AQ23" s="9">
        <f>MoF!AJ5</f>
        <v>0</v>
      </c>
      <c r="AR23" s="9">
        <f>MIN(AP23+AQ23,'Depreciation (Summary)'!X25)</f>
        <v>0</v>
      </c>
      <c r="AS23" s="9">
        <f>AP23+AQ23-AR23</f>
        <v>0</v>
      </c>
      <c r="AT23" s="10">
        <f>AH23</f>
        <v>0.10678562227863277</v>
      </c>
      <c r="AU23" s="9">
        <f>AVERAGE(AP23,AS23)*AT23</f>
        <v>0</v>
      </c>
      <c r="AV23" s="9">
        <f>AV44</f>
        <v>0.28701044119787716</v>
      </c>
      <c r="AW23" s="9">
        <f>SUM(AU23:AV23)</f>
        <v>0.28701044119787716</v>
      </c>
      <c r="BB23" s="7" t="s">
        <v>43</v>
      </c>
      <c r="BC23" s="9">
        <f>AS23</f>
        <v>0</v>
      </c>
      <c r="BD23" s="9">
        <f>MoF!AT5</f>
        <v>3.8779999999999997</v>
      </c>
      <c r="BE23" s="9">
        <f>MIN(BC23+BD23,'Depreciation (Summary)'!AD25)</f>
        <v>3.8779999999999997</v>
      </c>
      <c r="BF23" s="9">
        <f>BC23+BD23-BE23</f>
        <v>0</v>
      </c>
      <c r="BG23" s="10">
        <f>AT23</f>
        <v>0.10678562227863277</v>
      </c>
      <c r="BH23" s="9">
        <f>AVERAGE(BC23,BF23)*BG23</f>
        <v>0</v>
      </c>
      <c r="BI23" s="9">
        <f>BI44</f>
        <v>0.28701044119787716</v>
      </c>
      <c r="BJ23" s="9">
        <f>SUM(BH23:BI23)</f>
        <v>0.28701044119787716</v>
      </c>
      <c r="BO23" s="7" t="s">
        <v>43</v>
      </c>
      <c r="BP23" s="9">
        <f>BF23</f>
        <v>0</v>
      </c>
      <c r="BQ23" s="9">
        <f>MoF!BD5</f>
        <v>0</v>
      </c>
      <c r="BR23" s="9">
        <f>MIN(BP23+BQ23,'Depreciation (Summary)'!AJ25)</f>
        <v>0</v>
      </c>
      <c r="BS23" s="9">
        <f>BP23+BQ23-BR23</f>
        <v>0</v>
      </c>
      <c r="BT23" s="10">
        <f>BG23</f>
        <v>0.10678562227863277</v>
      </c>
      <c r="BU23" s="9">
        <f>AVERAGE(BP23,BS23)*BT23</f>
        <v>0</v>
      </c>
      <c r="BV23" s="9">
        <f>BV44</f>
        <v>0.28701044119787716</v>
      </c>
      <c r="BW23" s="9">
        <f>SUM(BU23:BV23)</f>
        <v>0.28701044119787716</v>
      </c>
    </row>
    <row r="24" spans="1:76" x14ac:dyDescent="0.35">
      <c r="B24" s="7" t="s">
        <v>150</v>
      </c>
      <c r="C24" s="9">
        <v>341.94590630389825</v>
      </c>
      <c r="D24" s="99">
        <f t="shared" ref="D24:D39" si="43">D45</f>
        <v>0</v>
      </c>
      <c r="E24" s="9">
        <f>MoF!F6</f>
        <v>37.882993416800005</v>
      </c>
      <c r="F24" s="9">
        <f>MIN(C24+E24,'Depreciation (Summary)'!F26)</f>
        <v>26.083379828640862</v>
      </c>
      <c r="G24" s="9">
        <f t="shared" ref="G24:G39" si="44">C24+D24+E24-F24</f>
        <v>353.74551989205736</v>
      </c>
      <c r="H24" s="10">
        <v>0.10611529143033999</v>
      </c>
      <c r="I24" s="9">
        <f t="shared" ref="I24:I39" si="45">AVERAGE(C24,G24)*H24</f>
        <v>36.911749218186344</v>
      </c>
      <c r="J24" s="9">
        <f t="shared" ref="J24:J39" si="46">J45</f>
        <v>3.180115280288097</v>
      </c>
      <c r="K24" s="9">
        <f t="shared" ref="K24:K35" si="47">SUM(I24:J24)</f>
        <v>40.091864498474443</v>
      </c>
      <c r="O24" s="7" t="s">
        <v>150</v>
      </c>
      <c r="P24" s="9">
        <f t="shared" si="36"/>
        <v>353.74551989205736</v>
      </c>
      <c r="Q24" s="99">
        <f t="shared" ref="Q24:Q39" si="48">Q45</f>
        <v>0</v>
      </c>
      <c r="R24" s="9">
        <f>MoF!P6</f>
        <v>41.924068333699999</v>
      </c>
      <c r="S24" s="9">
        <f>MIN(P24+R24,'Depreciation (Summary)'!L26)</f>
        <v>31.365484138435569</v>
      </c>
      <c r="T24" s="9">
        <f t="shared" si="37"/>
        <v>364.30410408732178</v>
      </c>
      <c r="U24" s="10">
        <v>0.10130014960560957</v>
      </c>
      <c r="V24" s="9">
        <f t="shared" si="38"/>
        <v>36.369267166681404</v>
      </c>
      <c r="W24" s="9">
        <f t="shared" ref="W24:W39" si="49">W45</f>
        <v>3.1966573477482942</v>
      </c>
      <c r="X24" s="9">
        <f t="shared" ref="X24:X39" si="50">SUM(V24:W24)</f>
        <v>39.565924514429696</v>
      </c>
      <c r="AB24" s="7" t="s">
        <v>150</v>
      </c>
      <c r="AC24" s="9">
        <f t="shared" si="39"/>
        <v>364.30410408732178</v>
      </c>
      <c r="AD24" s="100">
        <f t="shared" ref="AD24:AD39" si="51">AD45</f>
        <v>-0.33562538307180589</v>
      </c>
      <c r="AE24" s="9">
        <f>MoF!Z6</f>
        <v>255.35941921419999</v>
      </c>
      <c r="AF24" s="9">
        <f>MIN(AC24+AE24,'Depreciation (Summary)'!R26)</f>
        <v>65.34974606574265</v>
      </c>
      <c r="AG24" s="9">
        <f t="shared" si="40"/>
        <v>554.31377723577907</v>
      </c>
      <c r="AH24" s="10">
        <v>0.10260443317552016</v>
      </c>
      <c r="AI24" s="9">
        <f t="shared" si="41"/>
        <v>47.127133509027004</v>
      </c>
      <c r="AJ24" s="9">
        <f t="shared" ref="AJ24:AJ39" si="52">AJ45</f>
        <v>1.3120477311902958</v>
      </c>
      <c r="AK24" s="9">
        <f t="shared" ref="AK24:AK39" si="53">SUM(AI24:AJ24)</f>
        <v>48.439181240217302</v>
      </c>
      <c r="AO24" s="7" t="s">
        <v>150</v>
      </c>
      <c r="AP24" s="9">
        <f t="shared" si="42"/>
        <v>554.31377723577907</v>
      </c>
      <c r="AQ24" s="9">
        <f>MoF!AJ6</f>
        <v>139.41801518609998</v>
      </c>
      <c r="AR24" s="9">
        <f>MIN(AP24+AQ24,'Depreciation (Summary)'!X26)</f>
        <v>86.59252992532997</v>
      </c>
      <c r="AS24" s="9">
        <f t="shared" ref="AS24:AS39" si="54">AP24+AQ24-AR24</f>
        <v>607.13926249654912</v>
      </c>
      <c r="AT24" s="10">
        <f t="shared" ref="AT24:AT39" si="55">AH24</f>
        <v>0.10260443317552016</v>
      </c>
      <c r="AU24" s="9">
        <f t="shared" ref="AU24:AU39" si="56">AVERAGE(AP24,AS24)*AT24</f>
        <v>59.585115400860225</v>
      </c>
      <c r="AV24" s="9">
        <f t="shared" ref="AV24:AV39" si="57">AV45</f>
        <v>1.3120477311902958</v>
      </c>
      <c r="AW24" s="9">
        <f t="shared" ref="AW24:AW39" si="58">SUM(AU24:AV24)</f>
        <v>60.897163132050522</v>
      </c>
      <c r="BB24" s="7" t="s">
        <v>150</v>
      </c>
      <c r="BC24" s="9">
        <f t="shared" ref="BC24:BC39" si="59">AS24</f>
        <v>607.13926249654912</v>
      </c>
      <c r="BD24" s="9">
        <f>MoF!AT6</f>
        <v>104.61603431999998</v>
      </c>
      <c r="BE24" s="9">
        <f>MIN(BC24+BD24,'Depreciation (Summary)'!AD26)</f>
        <v>104.70471421023771</v>
      </c>
      <c r="BF24" s="9">
        <f t="shared" ref="BF24:BF39" si="60">BC24+BD24-BE24</f>
        <v>607.05058260631142</v>
      </c>
      <c r="BG24" s="10">
        <f t="shared" ref="BG24:BG39" si="61">AT24</f>
        <v>0.10260443317552016</v>
      </c>
      <c r="BH24" s="9">
        <f t="shared" ref="BH24:BH39" si="62">AVERAGE(BC24,BF24)*BG24</f>
        <v>62.290630412125815</v>
      </c>
      <c r="BI24" s="9">
        <f t="shared" ref="BI24:BI39" si="63">BI45</f>
        <v>1.3120477311902958</v>
      </c>
      <c r="BJ24" s="9">
        <f t="shared" ref="BJ24:BJ39" si="64">SUM(BH24:BI24)</f>
        <v>63.602678143316112</v>
      </c>
      <c r="BO24" s="7" t="s">
        <v>150</v>
      </c>
      <c r="BP24" s="9">
        <f t="shared" ref="BP24:BP39" si="65">BF24</f>
        <v>607.05058260631142</v>
      </c>
      <c r="BQ24" s="9">
        <f>MoF!BD6</f>
        <v>644.30036235529997</v>
      </c>
      <c r="BR24" s="9">
        <f>MIN(BP24+BQ24,'Depreciation (Summary)'!AJ26)</f>
        <v>212.7675881017384</v>
      </c>
      <c r="BS24" s="9">
        <f t="shared" ref="BS24:BS39" si="66">BP24+BQ24-BR24</f>
        <v>1038.5833568598728</v>
      </c>
      <c r="BT24" s="10">
        <f t="shared" ref="BT24:BT39" si="67">BG24</f>
        <v>0.10260443317552016</v>
      </c>
      <c r="BU24" s="9">
        <f t="shared" ref="BU24:BU39" si="68">AVERAGE(BP24,BS24)*BT24</f>
        <v>84.424668786663034</v>
      </c>
      <c r="BV24" s="9">
        <f t="shared" ref="BV24:BV39" si="69">BV45</f>
        <v>1.3120477311902958</v>
      </c>
      <c r="BW24" s="9">
        <f t="shared" ref="BW24:BW39" si="70">SUM(BU24:BV24)</f>
        <v>85.736716517853324</v>
      </c>
    </row>
    <row r="25" spans="1:76" x14ac:dyDescent="0.35">
      <c r="B25" s="7" t="s">
        <v>151</v>
      </c>
      <c r="C25" s="9">
        <v>67.138305514125108</v>
      </c>
      <c r="D25" s="99">
        <f t="shared" si="43"/>
        <v>-8.2108959781933381E-3</v>
      </c>
      <c r="E25" s="9">
        <f>MoF!F7</f>
        <v>8.407</v>
      </c>
      <c r="F25" s="9">
        <f>MIN(C25+E25,'Depreciation (Summary)'!F27)</f>
        <v>19.177388431237922</v>
      </c>
      <c r="G25" s="9">
        <f t="shared" si="44"/>
        <v>56.359706186908987</v>
      </c>
      <c r="H25" s="10">
        <v>0.10738866943314648</v>
      </c>
      <c r="I25" s="9">
        <f t="shared" si="45"/>
        <v>6.6311435771066041</v>
      </c>
      <c r="J25" s="9">
        <f t="shared" si="46"/>
        <v>1.8079849043760425</v>
      </c>
      <c r="K25" s="9">
        <f t="shared" si="47"/>
        <v>8.4391284814826459</v>
      </c>
      <c r="O25" s="7" t="s">
        <v>151</v>
      </c>
      <c r="P25" s="9">
        <f t="shared" si="36"/>
        <v>56.359706186908987</v>
      </c>
      <c r="Q25" s="99">
        <f t="shared" si="48"/>
        <v>-7.1979321784067157E-2</v>
      </c>
      <c r="R25" s="9">
        <f>MoF!P7</f>
        <v>9.6389999999999993</v>
      </c>
      <c r="S25" s="9">
        <f>MIN(P25+R25,'Depreciation (Summary)'!L27)</f>
        <v>20.117151015606417</v>
      </c>
      <c r="T25" s="9">
        <f t="shared" si="37"/>
        <v>45.881555171302573</v>
      </c>
      <c r="U25" s="10">
        <v>0.10274839515696355</v>
      </c>
      <c r="V25" s="9">
        <f t="shared" si="38"/>
        <v>5.252562761689954</v>
      </c>
      <c r="W25" s="9">
        <f t="shared" si="49"/>
        <v>1.3985375896398786</v>
      </c>
      <c r="X25" s="9">
        <f t="shared" si="50"/>
        <v>6.6511003513298323</v>
      </c>
      <c r="AB25" s="7" t="s">
        <v>151</v>
      </c>
      <c r="AC25" s="9">
        <f t="shared" si="39"/>
        <v>45.881555171302573</v>
      </c>
      <c r="AD25" s="100">
        <f t="shared" si="51"/>
        <v>-0.25930869441464227</v>
      </c>
      <c r="AE25" s="9">
        <f>MoF!Z7</f>
        <v>23.267999999999994</v>
      </c>
      <c r="AF25" s="9">
        <f>MIN(AC25+AE25,'Depreciation (Summary)'!R27)</f>
        <v>21.943518951875795</v>
      </c>
      <c r="AG25" s="9">
        <f t="shared" si="40"/>
        <v>47.206036219426771</v>
      </c>
      <c r="AH25" s="10">
        <v>0.10370363037228982</v>
      </c>
      <c r="AI25" s="9">
        <f t="shared" si="41"/>
        <v>4.8267605849154718</v>
      </c>
      <c r="AJ25" s="9">
        <f t="shared" si="52"/>
        <v>0.57402088239575433</v>
      </c>
      <c r="AK25" s="9">
        <f t="shared" si="53"/>
        <v>5.4007814673112264</v>
      </c>
      <c r="AO25" s="7" t="s">
        <v>151</v>
      </c>
      <c r="AP25" s="9">
        <f t="shared" si="42"/>
        <v>47.206036219426771</v>
      </c>
      <c r="AQ25" s="9">
        <f>MoF!AJ7</f>
        <v>32.039000000000001</v>
      </c>
      <c r="AR25" s="9">
        <f>MIN(AP25+AQ25,'Depreciation (Summary)'!X27)</f>
        <v>24.227348786955513</v>
      </c>
      <c r="AS25" s="9">
        <f t="shared" si="54"/>
        <v>55.017687432471249</v>
      </c>
      <c r="AT25" s="10">
        <f t="shared" si="55"/>
        <v>0.10370363037228982</v>
      </c>
      <c r="AU25" s="9">
        <f t="shared" si="56"/>
        <v>5.3004856264377658</v>
      </c>
      <c r="AV25" s="9">
        <f t="shared" si="57"/>
        <v>0.57402088239575433</v>
      </c>
      <c r="AW25" s="9">
        <f t="shared" si="58"/>
        <v>5.8745065088335204</v>
      </c>
      <c r="BB25" s="7" t="s">
        <v>151</v>
      </c>
      <c r="BC25" s="9">
        <f t="shared" si="59"/>
        <v>55.017687432471249</v>
      </c>
      <c r="BD25" s="9">
        <f>MoF!AT7</f>
        <v>294.791</v>
      </c>
      <c r="BE25" s="9">
        <f>MIN(BC25+BD25,'Depreciation (Summary)'!AD27)</f>
        <v>56.121736667022574</v>
      </c>
      <c r="BF25" s="9">
        <f t="shared" si="60"/>
        <v>293.68695076544867</v>
      </c>
      <c r="BG25" s="10">
        <f t="shared" si="61"/>
        <v>0.10370363037228982</v>
      </c>
      <c r="BH25" s="9">
        <f t="shared" si="62"/>
        <v>18.080968454390067</v>
      </c>
      <c r="BI25" s="9">
        <f t="shared" si="63"/>
        <v>0.57402088239575433</v>
      </c>
      <c r="BJ25" s="9">
        <f t="shared" si="64"/>
        <v>18.654989336785821</v>
      </c>
      <c r="BO25" s="7" t="s">
        <v>151</v>
      </c>
      <c r="BP25" s="9">
        <f t="shared" si="65"/>
        <v>293.68695076544867</v>
      </c>
      <c r="BQ25" s="9">
        <f>MoF!BD7</f>
        <v>70.708979795865702</v>
      </c>
      <c r="BR25" s="9">
        <f>MIN(BP25+BQ25,'Depreciation (Summary)'!AJ27)</f>
        <v>64.223699088632159</v>
      </c>
      <c r="BS25" s="9">
        <f t="shared" si="66"/>
        <v>300.1722314726822</v>
      </c>
      <c r="BT25" s="10">
        <f t="shared" si="67"/>
        <v>0.10370363037228982</v>
      </c>
      <c r="BU25" s="9">
        <f t="shared" si="68"/>
        <v>30.792676564006712</v>
      </c>
      <c r="BV25" s="9">
        <f t="shared" si="69"/>
        <v>0.57402088239575433</v>
      </c>
      <c r="BW25" s="9">
        <f t="shared" si="70"/>
        <v>31.366697446402465</v>
      </c>
    </row>
    <row r="26" spans="1:76" x14ac:dyDescent="0.35">
      <c r="B26" s="7" t="s">
        <v>44</v>
      </c>
      <c r="C26" s="9">
        <v>374.055740519305</v>
      </c>
      <c r="D26" s="99">
        <f t="shared" si="43"/>
        <v>0</v>
      </c>
      <c r="E26" s="9">
        <f>MoF!F8</f>
        <v>28.434000000000001</v>
      </c>
      <c r="F26" s="9">
        <f>MIN(C26+E26,'Depreciation (Summary)'!F28)</f>
        <v>62.484397160975718</v>
      </c>
      <c r="G26" s="9">
        <f t="shared" si="44"/>
        <v>340.0053433583293</v>
      </c>
      <c r="H26" s="10">
        <v>4.6810520342983761E-2</v>
      </c>
      <c r="I26" s="9">
        <f t="shared" si="45"/>
        <v>16.712785446493516</v>
      </c>
      <c r="J26" s="9">
        <f t="shared" si="46"/>
        <v>1.4003598331880212</v>
      </c>
      <c r="K26" s="9">
        <f t="shared" si="47"/>
        <v>18.113145279681536</v>
      </c>
      <c r="O26" s="7" t="s">
        <v>44</v>
      </c>
      <c r="P26" s="9">
        <f t="shared" si="36"/>
        <v>340.0053433583293</v>
      </c>
      <c r="Q26" s="99">
        <f t="shared" si="48"/>
        <v>-8.0194008611009449E-2</v>
      </c>
      <c r="R26" s="9">
        <f>MoF!P8</f>
        <v>75.481943046300003</v>
      </c>
      <c r="S26" s="9">
        <f>MIN(P26+R26,'Depreciation (Summary)'!L28)</f>
        <v>65.996532459138621</v>
      </c>
      <c r="T26" s="9">
        <f t="shared" si="37"/>
        <v>349.49075394549067</v>
      </c>
      <c r="U26" s="10">
        <v>3.1492540075668568E-2</v>
      </c>
      <c r="V26" s="9">
        <f t="shared" si="38"/>
        <v>10.856991738178813</v>
      </c>
      <c r="W26" s="9">
        <f t="shared" si="49"/>
        <v>2.7605392491767047</v>
      </c>
      <c r="X26" s="9">
        <f t="shared" si="50"/>
        <v>13.617530987355519</v>
      </c>
      <c r="AB26" s="7" t="s">
        <v>44</v>
      </c>
      <c r="AC26" s="9">
        <f t="shared" si="39"/>
        <v>349.49075394549067</v>
      </c>
      <c r="AD26" s="100">
        <f t="shared" si="51"/>
        <v>-32.0765161117614</v>
      </c>
      <c r="AE26" s="9">
        <f>MoF!Z8</f>
        <v>6.069</v>
      </c>
      <c r="AF26" s="9">
        <f>MIN(AC26+AE26,'Depreciation (Summary)'!R28)</f>
        <v>33.620552619293505</v>
      </c>
      <c r="AG26" s="9">
        <f t="shared" si="40"/>
        <v>321.93920132619718</v>
      </c>
      <c r="AH26" s="10">
        <v>5.7176452443082768E-2</v>
      </c>
      <c r="AI26" s="9">
        <f t="shared" si="41"/>
        <v>19.194991453226425</v>
      </c>
      <c r="AJ26" s="9">
        <f t="shared" si="52"/>
        <v>0.28701044119787716</v>
      </c>
      <c r="AK26" s="9">
        <f t="shared" si="53"/>
        <v>19.482001894424304</v>
      </c>
      <c r="AO26" s="7" t="s">
        <v>44</v>
      </c>
      <c r="AP26" s="9">
        <f t="shared" si="42"/>
        <v>321.93920132619718</v>
      </c>
      <c r="AQ26" s="9">
        <f>MoF!AJ8</f>
        <v>33.788369999999993</v>
      </c>
      <c r="AR26" s="9">
        <f>MIN(AP26+AQ26,'Depreciation (Summary)'!X28)</f>
        <v>27.104897160318728</v>
      </c>
      <c r="AS26" s="9">
        <f t="shared" si="54"/>
        <v>328.62267416587844</v>
      </c>
      <c r="AT26" s="10">
        <f t="shared" si="55"/>
        <v>5.7176452443082768E-2</v>
      </c>
      <c r="AU26" s="9">
        <f t="shared" si="56"/>
        <v>18.598410067677698</v>
      </c>
      <c r="AV26" s="9">
        <f t="shared" si="57"/>
        <v>0.28701044119787716</v>
      </c>
      <c r="AW26" s="9">
        <f t="shared" si="58"/>
        <v>18.885420508875576</v>
      </c>
      <c r="BB26" s="7" t="s">
        <v>44</v>
      </c>
      <c r="BC26" s="9">
        <f t="shared" si="59"/>
        <v>328.62267416587844</v>
      </c>
      <c r="BD26" s="9">
        <f>MoF!AT8</f>
        <v>62.166999999999987</v>
      </c>
      <c r="BE26" s="9">
        <f>MIN(BC26+BD26,'Depreciation (Summary)'!AD28)</f>
        <v>35.762362294689844</v>
      </c>
      <c r="BF26" s="9">
        <f t="shared" si="60"/>
        <v>355.02731187118854</v>
      </c>
      <c r="BG26" s="10">
        <f t="shared" si="61"/>
        <v>5.7176452443082768E-2</v>
      </c>
      <c r="BH26" s="9">
        <f t="shared" si="62"/>
        <v>19.544340457181281</v>
      </c>
      <c r="BI26" s="9">
        <f t="shared" si="63"/>
        <v>0.28701044119787716</v>
      </c>
      <c r="BJ26" s="9">
        <f t="shared" si="64"/>
        <v>19.83135089837916</v>
      </c>
      <c r="BO26" s="7" t="s">
        <v>44</v>
      </c>
      <c r="BP26" s="9">
        <f t="shared" si="65"/>
        <v>355.02731187118854</v>
      </c>
      <c r="BQ26" s="9">
        <f>MoF!BD8</f>
        <v>0</v>
      </c>
      <c r="BR26" s="9">
        <f>MIN(BP26+BQ26,'Depreciation (Summary)'!AJ28)</f>
        <v>35.762362294689844</v>
      </c>
      <c r="BS26" s="9">
        <f t="shared" si="66"/>
        <v>319.26494957649868</v>
      </c>
      <c r="BT26" s="10">
        <f t="shared" si="67"/>
        <v>5.7176452443082768E-2</v>
      </c>
      <c r="BU26" s="9">
        <f t="shared" si="68"/>
        <v>19.276819709701211</v>
      </c>
      <c r="BV26" s="9">
        <f t="shared" si="69"/>
        <v>0.28701044119787716</v>
      </c>
      <c r="BW26" s="9">
        <f t="shared" si="70"/>
        <v>19.56383015089909</v>
      </c>
    </row>
    <row r="27" spans="1:76" x14ac:dyDescent="0.35">
      <c r="B27" s="7" t="s">
        <v>152</v>
      </c>
      <c r="C27" s="9">
        <v>35.79372707716162</v>
      </c>
      <c r="D27" s="99">
        <f t="shared" si="43"/>
        <v>-0.31100874125271466</v>
      </c>
      <c r="E27" s="9">
        <f>MoF!F9</f>
        <v>24.130928814299995</v>
      </c>
      <c r="F27" s="9">
        <f>MIN(C27+E27,'Depreciation (Summary)'!F29)</f>
        <v>14.781716828882006</v>
      </c>
      <c r="G27" s="9">
        <f t="shared" si="44"/>
        <v>44.831930321326901</v>
      </c>
      <c r="H27" s="10">
        <v>0.1054367704636273</v>
      </c>
      <c r="I27" s="9">
        <f t="shared" si="45"/>
        <v>4.2504544663017443</v>
      </c>
      <c r="J27" s="9">
        <f t="shared" si="46"/>
        <v>0.64362874778203183</v>
      </c>
      <c r="K27" s="9">
        <f t="shared" si="47"/>
        <v>4.8940832140837758</v>
      </c>
      <c r="O27" s="7" t="s">
        <v>152</v>
      </c>
      <c r="P27" s="9">
        <f t="shared" si="36"/>
        <v>44.831930321326901</v>
      </c>
      <c r="Q27" s="99">
        <f t="shared" si="48"/>
        <v>0</v>
      </c>
      <c r="R27" s="9">
        <f>MoF!P9</f>
        <v>2.6347422597999999</v>
      </c>
      <c r="S27" s="9">
        <f>MIN(P27+R27,'Depreciation (Summary)'!L29)</f>
        <v>7.2501966287064299</v>
      </c>
      <c r="T27" s="9">
        <f t="shared" si="37"/>
        <v>40.216475952420467</v>
      </c>
      <c r="U27" s="10">
        <v>9.8146411143060483E-2</v>
      </c>
      <c r="V27" s="9">
        <f t="shared" si="38"/>
        <v>4.1735979246026265</v>
      </c>
      <c r="W27" s="9">
        <f t="shared" si="49"/>
        <v>1.5854964852391933</v>
      </c>
      <c r="X27" s="9">
        <f t="shared" si="50"/>
        <v>5.7590944098418202</v>
      </c>
      <c r="AB27" s="7" t="s">
        <v>152</v>
      </c>
      <c r="AC27" s="9">
        <f t="shared" si="39"/>
        <v>40.216475952420467</v>
      </c>
      <c r="AD27" s="100">
        <f t="shared" si="51"/>
        <v>0</v>
      </c>
      <c r="AE27" s="9">
        <f>MoF!Z9</f>
        <v>7.0265564116999988</v>
      </c>
      <c r="AF27" s="9">
        <f>MIN(AC27+AE27,'Depreciation (Summary)'!R29)</f>
        <v>8.2333360017990938</v>
      </c>
      <c r="AG27" s="9">
        <f t="shared" si="40"/>
        <v>39.009696362321371</v>
      </c>
      <c r="AH27" s="10">
        <v>0.10431859364423639</v>
      </c>
      <c r="AI27" s="9">
        <f t="shared" si="41"/>
        <v>4.1323814378449022</v>
      </c>
      <c r="AJ27" s="9">
        <f t="shared" si="52"/>
        <v>0.98590407682400583</v>
      </c>
      <c r="AK27" s="9">
        <f t="shared" si="53"/>
        <v>5.1182855146689077</v>
      </c>
      <c r="AO27" s="7" t="s">
        <v>152</v>
      </c>
      <c r="AP27" s="9">
        <f t="shared" si="42"/>
        <v>39.009696362321371</v>
      </c>
      <c r="AQ27" s="9">
        <f>MoF!AJ9</f>
        <v>4.3330000000000002</v>
      </c>
      <c r="AR27" s="9">
        <f>MIN(AP27+AQ27,'Depreciation (Summary)'!X29)</f>
        <v>20.250144237617121</v>
      </c>
      <c r="AS27" s="9">
        <f t="shared" si="54"/>
        <v>23.092552124704248</v>
      </c>
      <c r="AT27" s="10">
        <f t="shared" si="55"/>
        <v>0.10431859364423639</v>
      </c>
      <c r="AU27" s="9">
        <f t="shared" si="56"/>
        <v>3.2392096121557099</v>
      </c>
      <c r="AV27" s="9">
        <f t="shared" si="57"/>
        <v>0.98590407682400583</v>
      </c>
      <c r="AW27" s="9">
        <f t="shared" si="58"/>
        <v>4.2251136889797154</v>
      </c>
      <c r="BB27" s="7" t="s">
        <v>152</v>
      </c>
      <c r="BC27" s="9">
        <f t="shared" si="59"/>
        <v>23.092552124704248</v>
      </c>
      <c r="BD27" s="9">
        <f>MoF!AT9</f>
        <v>20.831999999999997</v>
      </c>
      <c r="BE27" s="9">
        <f>MIN(BC27+BD27,'Depreciation (Summary)'!AD29)</f>
        <v>33.368038681089324</v>
      </c>
      <c r="BF27" s="9">
        <f t="shared" si="60"/>
        <v>10.556513443614925</v>
      </c>
      <c r="BG27" s="10">
        <f t="shared" si="61"/>
        <v>0.10431859364423639</v>
      </c>
      <c r="BH27" s="9">
        <f t="shared" si="62"/>
        <v>1.7551115987648769</v>
      </c>
      <c r="BI27" s="9">
        <f t="shared" si="63"/>
        <v>0.98590407682400583</v>
      </c>
      <c r="BJ27" s="9">
        <f t="shared" si="64"/>
        <v>2.7410156755888826</v>
      </c>
      <c r="BO27" s="7" t="s">
        <v>152</v>
      </c>
      <c r="BP27" s="9">
        <f t="shared" si="65"/>
        <v>10.556513443614925</v>
      </c>
      <c r="BQ27" s="9">
        <f>MoF!BD9</f>
        <v>7.5039999999999987</v>
      </c>
      <c r="BR27" s="9">
        <f>MIN(BP27+BQ27,'Depreciation (Summary)'!AJ29)</f>
        <v>18.060513443614923</v>
      </c>
      <c r="BS27" s="9">
        <f t="shared" si="66"/>
        <v>0</v>
      </c>
      <c r="BT27" s="10">
        <f t="shared" si="67"/>
        <v>0.10431859364423639</v>
      </c>
      <c r="BU27" s="9">
        <f t="shared" si="68"/>
        <v>0.55062031811219192</v>
      </c>
      <c r="BV27" s="9">
        <f t="shared" si="69"/>
        <v>0.98590407682400583</v>
      </c>
      <c r="BW27" s="9">
        <f t="shared" si="70"/>
        <v>1.5365243949361977</v>
      </c>
    </row>
    <row r="28" spans="1:76" x14ac:dyDescent="0.35">
      <c r="B28" s="7" t="s">
        <v>154</v>
      </c>
      <c r="C28" s="9">
        <v>82.962125568119404</v>
      </c>
      <c r="D28" s="99">
        <f t="shared" si="43"/>
        <v>-3.8961749428582562E-2</v>
      </c>
      <c r="E28" s="9">
        <f>MoF!F10</f>
        <v>0.61202268889999989</v>
      </c>
      <c r="F28" s="9">
        <f>MIN(C28+E28,'Depreciation (Summary)'!F30)</f>
        <v>2.1790226297865223</v>
      </c>
      <c r="G28" s="9">
        <f t="shared" si="44"/>
        <v>81.356163877804306</v>
      </c>
      <c r="H28" s="10">
        <v>0.1103029538474376</v>
      </c>
      <c r="I28" s="9">
        <f t="shared" si="45"/>
        <v>9.0623963485218084</v>
      </c>
      <c r="J28" s="9">
        <f t="shared" si="46"/>
        <v>0.57723920810083396</v>
      </c>
      <c r="K28" s="9">
        <f t="shared" si="47"/>
        <v>9.6396355566226433</v>
      </c>
      <c r="O28" s="7" t="s">
        <v>154</v>
      </c>
      <c r="P28" s="9">
        <f t="shared" si="36"/>
        <v>81.356163877804306</v>
      </c>
      <c r="Q28" s="99">
        <f t="shared" si="48"/>
        <v>-1.3911643830884144E-3</v>
      </c>
      <c r="R28" s="9">
        <f>MoF!P10</f>
        <v>5.7280834799999978</v>
      </c>
      <c r="S28" s="9">
        <f>MIN(P28+R28,'Depreciation (Summary)'!L30)</f>
        <v>4.0915140240007828</v>
      </c>
      <c r="T28" s="9">
        <f t="shared" si="37"/>
        <v>82.992733333803514</v>
      </c>
      <c r="U28" s="10">
        <v>0.10498619880752379</v>
      </c>
      <c r="V28" s="9">
        <f t="shared" si="38"/>
        <v>8.6271829982275765</v>
      </c>
      <c r="W28" s="9">
        <f t="shared" si="49"/>
        <v>1.118959971711903</v>
      </c>
      <c r="X28" s="9">
        <f t="shared" si="50"/>
        <v>9.7461429699394788</v>
      </c>
      <c r="AB28" s="7" t="s">
        <v>154</v>
      </c>
      <c r="AC28" s="9">
        <f t="shared" si="39"/>
        <v>82.992733333803514</v>
      </c>
      <c r="AD28" s="100">
        <f t="shared" si="51"/>
        <v>0</v>
      </c>
      <c r="AE28" s="9">
        <f>MoF!Z10</f>
        <v>0.10795224580000003</v>
      </c>
      <c r="AF28" s="9">
        <f>MIN(AC28+AE28,'Depreciation (Summary)'!R30)</f>
        <v>4.0809908452187544</v>
      </c>
      <c r="AG28" s="9">
        <f t="shared" si="40"/>
        <v>79.019694734384771</v>
      </c>
      <c r="AH28" s="10">
        <v>0.11145557629926758</v>
      </c>
      <c r="AI28" s="9">
        <f t="shared" si="41"/>
        <v>9.02859426899178</v>
      </c>
      <c r="AJ28" s="9">
        <f t="shared" si="52"/>
        <v>0.99338442147893957</v>
      </c>
      <c r="AK28" s="9">
        <f t="shared" si="53"/>
        <v>10.02197869047072</v>
      </c>
      <c r="AO28" s="7" t="s">
        <v>154</v>
      </c>
      <c r="AP28" s="9">
        <f t="shared" si="42"/>
        <v>79.019694734384771</v>
      </c>
      <c r="AQ28" s="9">
        <f>MoF!AJ10</f>
        <v>24.184999999999995</v>
      </c>
      <c r="AR28" s="9">
        <f>MIN(AP28+AQ28,'Depreciation (Summary)'!X30)</f>
        <v>14.445990845218727</v>
      </c>
      <c r="AS28" s="9">
        <f t="shared" si="54"/>
        <v>88.758703889166028</v>
      </c>
      <c r="AT28" s="10">
        <f t="shared" si="55"/>
        <v>0.11145557629926758</v>
      </c>
      <c r="AU28" s="9">
        <f t="shared" si="56"/>
        <v>9.3499190545780486</v>
      </c>
      <c r="AV28" s="9">
        <f t="shared" si="57"/>
        <v>0.99338442147893957</v>
      </c>
      <c r="AW28" s="9">
        <f t="shared" si="58"/>
        <v>10.343303476056988</v>
      </c>
      <c r="BB28" s="7" t="s">
        <v>154</v>
      </c>
      <c r="BC28" s="9">
        <f t="shared" si="59"/>
        <v>88.758703889166028</v>
      </c>
      <c r="BD28" s="9">
        <f>MoF!AT10</f>
        <v>79.83499999999998</v>
      </c>
      <c r="BE28" s="9">
        <f>MIN(BC28+BD28,'Depreciation (Summary)'!AD30)</f>
        <v>65.76849084521875</v>
      </c>
      <c r="BF28" s="9">
        <f t="shared" si="60"/>
        <v>102.82521304394727</v>
      </c>
      <c r="BG28" s="10">
        <f t="shared" si="61"/>
        <v>0.11145557629926758</v>
      </c>
      <c r="BH28" s="9">
        <f t="shared" si="62"/>
        <v>10.676547935725576</v>
      </c>
      <c r="BI28" s="9">
        <f t="shared" si="63"/>
        <v>0.99338442147893957</v>
      </c>
      <c r="BJ28" s="9">
        <f t="shared" si="64"/>
        <v>11.669932357204516</v>
      </c>
      <c r="BO28" s="7" t="s">
        <v>154</v>
      </c>
      <c r="BP28" s="9">
        <f t="shared" si="65"/>
        <v>102.82521304394727</v>
      </c>
      <c r="BQ28" s="9">
        <f>MoF!BD10</f>
        <v>5.9499999999999993</v>
      </c>
      <c r="BR28" s="9">
        <f>MIN(BP28+BQ28,'Depreciation (Summary)'!AJ30)</f>
        <v>73.418490845218727</v>
      </c>
      <c r="BS28" s="9">
        <f t="shared" si="66"/>
        <v>35.356722198728548</v>
      </c>
      <c r="BT28" s="10">
        <f t="shared" si="67"/>
        <v>0.11145557629926758</v>
      </c>
      <c r="BU28" s="9">
        <f t="shared" si="68"/>
        <v>7.7005736133102536</v>
      </c>
      <c r="BV28" s="9">
        <f t="shared" si="69"/>
        <v>0.99338442147893957</v>
      </c>
      <c r="BW28" s="9">
        <f t="shared" si="70"/>
        <v>8.693958034789194</v>
      </c>
    </row>
    <row r="29" spans="1:76" x14ac:dyDescent="0.35">
      <c r="B29" s="7" t="s">
        <v>155</v>
      </c>
      <c r="C29" s="9">
        <v>695.68791231503849</v>
      </c>
      <c r="D29" s="99">
        <f t="shared" si="43"/>
        <v>-0.81073042202325851</v>
      </c>
      <c r="E29" s="9">
        <f>MoF!F11</f>
        <v>6.6639999999999997</v>
      </c>
      <c r="F29" s="9">
        <f>MIN(C29+E29,'Depreciation (Summary)'!F31)</f>
        <v>159.40072373589783</v>
      </c>
      <c r="G29" s="9">
        <f t="shared" si="44"/>
        <v>542.14045815711734</v>
      </c>
      <c r="H29" s="10">
        <v>0.1049896505292381</v>
      </c>
      <c r="I29" s="9">
        <f t="shared" si="45"/>
        <v>64.979584015523955</v>
      </c>
      <c r="J29" s="9">
        <f t="shared" si="46"/>
        <v>0.91266926603335852</v>
      </c>
      <c r="K29" s="9">
        <f t="shared" si="47"/>
        <v>65.892253281557316</v>
      </c>
      <c r="O29" s="7" t="s">
        <v>155</v>
      </c>
      <c r="P29" s="9">
        <f t="shared" si="36"/>
        <v>542.14045815711734</v>
      </c>
      <c r="Q29" s="99">
        <f t="shared" si="48"/>
        <v>0</v>
      </c>
      <c r="R29" s="9">
        <f>MoF!P11</f>
        <v>6.9580000000000002</v>
      </c>
      <c r="S29" s="9">
        <f>MIN(P29+R29,'Depreciation (Summary)'!L31)</f>
        <v>159.64382724603516</v>
      </c>
      <c r="T29" s="9">
        <f t="shared" si="37"/>
        <v>389.45463091108218</v>
      </c>
      <c r="U29" s="10">
        <v>0.10594224903576434</v>
      </c>
      <c r="V29" s="9">
        <f t="shared" si="38"/>
        <v>49.34763946327913</v>
      </c>
      <c r="W29" s="9">
        <f t="shared" si="49"/>
        <v>0.83518530597611829</v>
      </c>
      <c r="X29" s="9">
        <f t="shared" si="50"/>
        <v>50.182824769255248</v>
      </c>
      <c r="AB29" s="7" t="s">
        <v>155</v>
      </c>
      <c r="AC29" s="9">
        <f t="shared" si="39"/>
        <v>389.45463091108218</v>
      </c>
      <c r="AD29" s="100">
        <f t="shared" si="51"/>
        <v>0</v>
      </c>
      <c r="AE29" s="9">
        <f>MoF!Z11</f>
        <v>15.897951719999998</v>
      </c>
      <c r="AF29" s="9">
        <f>MIN(AC29+AE29,'Depreciation (Summary)'!R31)</f>
        <v>80.30094754393987</v>
      </c>
      <c r="AG29" s="9">
        <f t="shared" si="40"/>
        <v>325.0516350871423</v>
      </c>
      <c r="AH29" s="10">
        <v>9.3441438693874071E-2</v>
      </c>
      <c r="AI29" s="9">
        <f t="shared" si="41"/>
        <v>33.382246725330987</v>
      </c>
      <c r="AJ29" s="9">
        <f t="shared" si="52"/>
        <v>0.77638995432063962</v>
      </c>
      <c r="AK29" s="9">
        <f t="shared" si="53"/>
        <v>34.158636679651629</v>
      </c>
      <c r="AO29" s="7" t="s">
        <v>155</v>
      </c>
      <c r="AP29" s="9">
        <f t="shared" si="42"/>
        <v>325.0516350871423</v>
      </c>
      <c r="AQ29" s="9">
        <f>MoF!AJ11</f>
        <v>57.793845956000006</v>
      </c>
      <c r="AR29" s="9">
        <f>MIN(AP29+AQ29,'Depreciation (Summary)'!X31)</f>
        <v>86.502724781901222</v>
      </c>
      <c r="AS29" s="9">
        <f t="shared" si="54"/>
        <v>296.34275626124105</v>
      </c>
      <c r="AT29" s="10">
        <f t="shared" si="55"/>
        <v>9.3441438693874071E-2</v>
      </c>
      <c r="AU29" s="9">
        <f t="shared" si="56"/>
        <v>29.031992961948578</v>
      </c>
      <c r="AV29" s="9">
        <f t="shared" si="57"/>
        <v>0.77638995432063962</v>
      </c>
      <c r="AW29" s="9">
        <f t="shared" si="58"/>
        <v>29.808382916269217</v>
      </c>
      <c r="BB29" s="7" t="s">
        <v>155</v>
      </c>
      <c r="BC29" s="9">
        <f t="shared" si="59"/>
        <v>296.34275626124105</v>
      </c>
      <c r="BD29" s="9">
        <f>MoF!AT11</f>
        <v>31.465</v>
      </c>
      <c r="BE29" s="9">
        <f>MIN(BC29+BD29,'Depreciation (Summary)'!AD31)</f>
        <v>78.317158478827935</v>
      </c>
      <c r="BF29" s="9">
        <f t="shared" si="60"/>
        <v>249.49059778241309</v>
      </c>
      <c r="BG29" s="10">
        <f t="shared" si="61"/>
        <v>9.3441438693874071E-2</v>
      </c>
      <c r="BH29" s="9">
        <f t="shared" si="62"/>
        <v>25.501726944470885</v>
      </c>
      <c r="BI29" s="9">
        <f t="shared" si="63"/>
        <v>0.77638995432063962</v>
      </c>
      <c r="BJ29" s="9">
        <f t="shared" si="64"/>
        <v>26.278116898791524</v>
      </c>
      <c r="BO29" s="7" t="s">
        <v>155</v>
      </c>
      <c r="BP29" s="9">
        <f t="shared" si="65"/>
        <v>249.49059778241309</v>
      </c>
      <c r="BQ29" s="9">
        <f>MoF!BD11</f>
        <v>267.16199999999998</v>
      </c>
      <c r="BR29" s="9">
        <f>MIN(BP29+BQ29,'Depreciation (Summary)'!AJ31)</f>
        <v>166.28497194217772</v>
      </c>
      <c r="BS29" s="9">
        <f t="shared" si="66"/>
        <v>350.36762584023535</v>
      </c>
      <c r="BT29" s="10">
        <f t="shared" si="67"/>
        <v>9.3441438693874071E-2</v>
      </c>
      <c r="BU29" s="9">
        <f t="shared" si="68"/>
        <v>28.025807713825955</v>
      </c>
      <c r="BV29" s="9">
        <f t="shared" si="69"/>
        <v>0.77638995432063962</v>
      </c>
      <c r="BW29" s="9">
        <f t="shared" si="70"/>
        <v>28.802197668146594</v>
      </c>
    </row>
    <row r="30" spans="1:76" x14ac:dyDescent="0.35">
      <c r="B30" s="7" t="s">
        <v>156</v>
      </c>
      <c r="C30" s="9">
        <v>447.510986599001</v>
      </c>
      <c r="D30" s="99">
        <f t="shared" si="43"/>
        <v>-0.38577611552316865</v>
      </c>
      <c r="E30" s="9">
        <f>MoF!F12</f>
        <v>37.546914403599992</v>
      </c>
      <c r="F30" s="9">
        <f>MIN(C30+E30,'Depreciation (Summary)'!F32)</f>
        <v>151.35067362228997</v>
      </c>
      <c r="G30" s="9">
        <f t="shared" si="44"/>
        <v>333.32145126478781</v>
      </c>
      <c r="H30" s="10">
        <v>0.10563955990454335</v>
      </c>
      <c r="I30" s="9">
        <f t="shared" si="45"/>
        <v>41.243397547561166</v>
      </c>
      <c r="J30" s="9">
        <f t="shared" si="46"/>
        <v>0.5508790490333586</v>
      </c>
      <c r="K30" s="9">
        <f t="shared" si="47"/>
        <v>41.794276596594521</v>
      </c>
      <c r="O30" s="7" t="s">
        <v>156</v>
      </c>
      <c r="P30" s="9">
        <f t="shared" si="36"/>
        <v>333.32145126478781</v>
      </c>
      <c r="Q30" s="99">
        <f t="shared" si="48"/>
        <v>0</v>
      </c>
      <c r="R30" s="9">
        <f>MoF!P12</f>
        <v>18.4620408609</v>
      </c>
      <c r="S30" s="9">
        <f>MIN(P30+R30,'Depreciation (Summary)'!L32)</f>
        <v>153.80161788920071</v>
      </c>
      <c r="T30" s="9">
        <f t="shared" si="37"/>
        <v>197.9818742364871</v>
      </c>
      <c r="U30" s="10">
        <v>0.10550182179173145</v>
      </c>
      <c r="V30" s="9">
        <f t="shared" si="38"/>
        <v>28.026734382194899</v>
      </c>
      <c r="W30" s="9">
        <f t="shared" si="49"/>
        <v>1.7919930668006991</v>
      </c>
      <c r="X30" s="9">
        <f t="shared" si="50"/>
        <v>29.818727448995599</v>
      </c>
      <c r="AB30" s="7" t="s">
        <v>156</v>
      </c>
      <c r="AC30" s="9">
        <f t="shared" si="39"/>
        <v>197.9818742364871</v>
      </c>
      <c r="AD30" s="100">
        <f t="shared" si="51"/>
        <v>-4.8490991370770065E-2</v>
      </c>
      <c r="AE30" s="9">
        <f>MoF!Z12</f>
        <v>41.677999999999997</v>
      </c>
      <c r="AF30" s="9">
        <f>MIN(AC30+AE30,'Depreciation (Summary)'!R32)</f>
        <v>74.571867634907974</v>
      </c>
      <c r="AG30" s="9">
        <f t="shared" si="40"/>
        <v>165.08800660157914</v>
      </c>
      <c r="AH30" s="10">
        <v>9.2344248120227027E-2</v>
      </c>
      <c r="AI30" s="9">
        <f t="shared" si="41"/>
        <v>16.763707580545823</v>
      </c>
      <c r="AJ30" s="9">
        <f t="shared" si="52"/>
        <v>0.62868953786201598</v>
      </c>
      <c r="AK30" s="9">
        <f t="shared" si="53"/>
        <v>17.392397118407839</v>
      </c>
      <c r="AO30" s="7" t="s">
        <v>156</v>
      </c>
      <c r="AP30" s="9">
        <f t="shared" si="42"/>
        <v>165.08800660157914</v>
      </c>
      <c r="AQ30" s="9">
        <f>MoF!AJ12</f>
        <v>26.299000000000003</v>
      </c>
      <c r="AR30" s="9">
        <f>MIN(AP30+AQ30,'Depreciation (Summary)'!X32)</f>
        <v>77.994798943821053</v>
      </c>
      <c r="AS30" s="9">
        <f t="shared" si="54"/>
        <v>113.39220765775809</v>
      </c>
      <c r="AT30" s="10">
        <f t="shared" si="55"/>
        <v>9.2344248120227027E-2</v>
      </c>
      <c r="AU30" s="9">
        <f t="shared" si="56"/>
        <v>12.85802300106911</v>
      </c>
      <c r="AV30" s="9">
        <f t="shared" si="57"/>
        <v>0.62868953786201598</v>
      </c>
      <c r="AW30" s="9">
        <f t="shared" si="58"/>
        <v>13.486712538931126</v>
      </c>
      <c r="BB30" s="7" t="s">
        <v>156</v>
      </c>
      <c r="BC30" s="9">
        <f t="shared" si="59"/>
        <v>113.39220765775809</v>
      </c>
      <c r="BD30" s="9">
        <f>MoF!AT12</f>
        <v>18.059999999999999</v>
      </c>
      <c r="BE30" s="9">
        <f>MIN(BC30+BD30,'Depreciation (Summary)'!AD32)</f>
        <v>75.932830685610611</v>
      </c>
      <c r="BF30" s="9">
        <f t="shared" si="60"/>
        <v>55.519376972147484</v>
      </c>
      <c r="BG30" s="10">
        <f t="shared" si="61"/>
        <v>9.2344248120227027E-2</v>
      </c>
      <c r="BH30" s="9">
        <f t="shared" si="62"/>
        <v>7.7990066407223635</v>
      </c>
      <c r="BI30" s="9">
        <f t="shared" si="63"/>
        <v>0.62868953786201598</v>
      </c>
      <c r="BJ30" s="9">
        <f t="shared" si="64"/>
        <v>8.4276961785843802</v>
      </c>
      <c r="BO30" s="7" t="s">
        <v>156</v>
      </c>
      <c r="BP30" s="9">
        <f t="shared" si="65"/>
        <v>55.519376972147484</v>
      </c>
      <c r="BQ30" s="9">
        <f>MoF!BD12</f>
        <v>101.514</v>
      </c>
      <c r="BR30" s="9">
        <f>MIN(BP30+BQ30,'Depreciation (Summary)'!AJ32)</f>
        <v>87.59625608770628</v>
      </c>
      <c r="BS30" s="9">
        <f t="shared" si="66"/>
        <v>69.437120884441214</v>
      </c>
      <c r="BT30" s="10">
        <f t="shared" si="67"/>
        <v>9.2344248120227027E-2</v>
      </c>
      <c r="BU30" s="9">
        <f t="shared" si="68"/>
        <v>5.7695069211517218</v>
      </c>
      <c r="BV30" s="9">
        <f t="shared" si="69"/>
        <v>0.62868953786201598</v>
      </c>
      <c r="BW30" s="9">
        <f t="shared" si="70"/>
        <v>6.3981964590137377</v>
      </c>
    </row>
    <row r="31" spans="1:76" x14ac:dyDescent="0.35">
      <c r="B31" s="7" t="s">
        <v>8</v>
      </c>
      <c r="C31" s="80">
        <f>1313.71895635358+'Review Order_180 of 2020'!E11</f>
        <v>1340.98673435358</v>
      </c>
      <c r="D31" s="99">
        <f t="shared" si="43"/>
        <v>0</v>
      </c>
      <c r="E31" s="9">
        <f>MoF!F13</f>
        <v>3.8849999999999998</v>
      </c>
      <c r="F31" s="9">
        <f>MIN(C31+E31,'Depreciation (Summary)'!F33)</f>
        <v>175.03329774944305</v>
      </c>
      <c r="G31" s="9">
        <f t="shared" si="44"/>
        <v>1169.8384366041369</v>
      </c>
      <c r="H31" s="10">
        <v>9.4531291500282999E-2</v>
      </c>
      <c r="I31" s="9">
        <f t="shared" si="45"/>
        <v>118.67577307102593</v>
      </c>
      <c r="J31" s="9">
        <f t="shared" si="46"/>
        <v>0.51860806803335846</v>
      </c>
      <c r="K31" s="9">
        <f t="shared" si="47"/>
        <v>119.19438113905929</v>
      </c>
      <c r="O31" s="7" t="s">
        <v>8</v>
      </c>
      <c r="P31" s="9">
        <f t="shared" si="36"/>
        <v>1169.8384366041369</v>
      </c>
      <c r="Q31" s="99">
        <f t="shared" si="48"/>
        <v>-1.6528834889953614</v>
      </c>
      <c r="R31" s="9">
        <f>MoF!P13</f>
        <v>16.191000000000003</v>
      </c>
      <c r="S31" s="9">
        <f>MIN(P31+R31,'Depreciation (Summary)'!L33)</f>
        <v>179.81186517190565</v>
      </c>
      <c r="T31" s="9">
        <f t="shared" si="37"/>
        <v>1006.2175714322312</v>
      </c>
      <c r="U31" s="10">
        <v>9.1769756690841239E-2</v>
      </c>
      <c r="V31" s="9">
        <f t="shared" si="38"/>
        <v>99.848065201570378</v>
      </c>
      <c r="W31" s="9">
        <f t="shared" si="49"/>
        <v>1.5132886089854025</v>
      </c>
      <c r="X31" s="9">
        <f t="shared" si="50"/>
        <v>101.36135381055578</v>
      </c>
      <c r="AB31" s="7" t="s">
        <v>8</v>
      </c>
      <c r="AC31" s="9">
        <f t="shared" si="39"/>
        <v>1006.2175714322312</v>
      </c>
      <c r="AD31" s="100">
        <f t="shared" si="51"/>
        <v>-1.368543227259025</v>
      </c>
      <c r="AE31" s="9">
        <f>MoF!Z13</f>
        <v>52.849999999999994</v>
      </c>
      <c r="AF31" s="9">
        <f>MIN(AC31+AE31,'Depreciation (Summary)'!R33)</f>
        <v>181.90941190939628</v>
      </c>
      <c r="AG31" s="9">
        <f t="shared" si="40"/>
        <v>877.15815952283492</v>
      </c>
      <c r="AH31" s="10">
        <v>8.0595524262051743E-2</v>
      </c>
      <c r="AI31" s="9">
        <f t="shared" si="41"/>
        <v>75.895827209374232</v>
      </c>
      <c r="AJ31" s="9">
        <f t="shared" si="52"/>
        <v>0.74868446532063959</v>
      </c>
      <c r="AK31" s="9">
        <f t="shared" si="53"/>
        <v>76.644511674694868</v>
      </c>
      <c r="AO31" s="7" t="s">
        <v>8</v>
      </c>
      <c r="AP31" s="9">
        <f t="shared" si="42"/>
        <v>877.15815952283492</v>
      </c>
      <c r="AQ31" s="9">
        <f>MoF!AJ13</f>
        <v>15.469999999999997</v>
      </c>
      <c r="AR31" s="9">
        <f>MIN(AP31+AQ31,'Depreciation (Summary)'!X33)</f>
        <v>180.39180281666444</v>
      </c>
      <c r="AS31" s="9">
        <f t="shared" si="54"/>
        <v>712.23635670617045</v>
      </c>
      <c r="AT31" s="10">
        <f t="shared" si="55"/>
        <v>8.0595524262051743E-2</v>
      </c>
      <c r="AU31" s="9">
        <f t="shared" si="56"/>
        <v>64.049042147353404</v>
      </c>
      <c r="AV31" s="9">
        <f t="shared" si="57"/>
        <v>0.74868446532063959</v>
      </c>
      <c r="AW31" s="9">
        <f t="shared" si="58"/>
        <v>64.79772661267404</v>
      </c>
      <c r="BB31" s="7" t="s">
        <v>8</v>
      </c>
      <c r="BC31" s="9">
        <f t="shared" si="59"/>
        <v>712.23635670617045</v>
      </c>
      <c r="BD31" s="9">
        <f>MoF!AT13</f>
        <v>188.58532608695651</v>
      </c>
      <c r="BE31" s="9">
        <f>MIN(BC31+BD31,'Depreciation (Summary)'!AD33)</f>
        <v>188.00120963360521</v>
      </c>
      <c r="BF31" s="9">
        <f t="shared" si="60"/>
        <v>712.82047315952173</v>
      </c>
      <c r="BG31" s="10">
        <f t="shared" si="61"/>
        <v>8.0595524262051743E-2</v>
      </c>
      <c r="BH31" s="9">
        <f t="shared" si="62"/>
        <v>57.426601153121467</v>
      </c>
      <c r="BI31" s="9">
        <f t="shared" si="63"/>
        <v>0.74868446532063959</v>
      </c>
      <c r="BJ31" s="9">
        <f t="shared" si="64"/>
        <v>58.175285618442103</v>
      </c>
      <c r="BO31" s="7" t="s">
        <v>8</v>
      </c>
      <c r="BP31" s="9">
        <f t="shared" si="65"/>
        <v>712.82047315952173</v>
      </c>
      <c r="BQ31" s="9">
        <f>MoF!BD13</f>
        <v>197.40699999999995</v>
      </c>
      <c r="BR31" s="9">
        <f>MIN(BP31+BQ31,'Depreciation (Summary)'!AJ33)</f>
        <v>201.16921324621197</v>
      </c>
      <c r="BS31" s="9">
        <f t="shared" si="66"/>
        <v>709.05825991330971</v>
      </c>
      <c r="BT31" s="10">
        <f t="shared" si="67"/>
        <v>8.0595524262051743E-2</v>
      </c>
      <c r="BU31" s="9">
        <f t="shared" si="68"/>
        <v>57.298530964533391</v>
      </c>
      <c r="BV31" s="9">
        <f t="shared" si="69"/>
        <v>0.74868446532063959</v>
      </c>
      <c r="BW31" s="9">
        <f t="shared" si="70"/>
        <v>58.047215429854027</v>
      </c>
    </row>
    <row r="32" spans="1:76" x14ac:dyDescent="0.35">
      <c r="A32" s="91">
        <f>E32+D32</f>
        <v>89.337330339988867</v>
      </c>
      <c r="B32" s="7" t="s">
        <v>157</v>
      </c>
      <c r="C32" s="147">
        <f>2920.51468066234+'Review Order_180 of 2020'!E11*0+'BTPS_4-5 LD Impact'!H21</f>
        <v>2943.6110495505477</v>
      </c>
      <c r="D32" s="99">
        <f t="shared" si="43"/>
        <v>-2.3718799202554059</v>
      </c>
      <c r="E32" s="9">
        <f>MoF!F14</f>
        <v>91.709210260244276</v>
      </c>
      <c r="F32" s="9">
        <f>MIN(C32+E32,'Depreciation (Summary)'!F34)</f>
        <v>336.78611786706955</v>
      </c>
      <c r="G32" s="9">
        <f t="shared" si="44"/>
        <v>2696.1622620234671</v>
      </c>
      <c r="H32" s="10">
        <v>0.10440610348375437</v>
      </c>
      <c r="I32" s="9">
        <f t="shared" si="45"/>
        <v>294.41337799655633</v>
      </c>
      <c r="J32" s="9">
        <f t="shared" si="46"/>
        <v>0.63941100103335846</v>
      </c>
      <c r="K32" s="9">
        <f t="shared" si="47"/>
        <v>295.05278899758969</v>
      </c>
      <c r="O32" s="7" t="s">
        <v>157</v>
      </c>
      <c r="P32" s="9">
        <f t="shared" si="36"/>
        <v>2696.1622620234671</v>
      </c>
      <c r="Q32" s="99">
        <f t="shared" si="48"/>
        <v>0</v>
      </c>
      <c r="R32" s="9">
        <f>MoF!P14</f>
        <v>1.8619999999999999</v>
      </c>
      <c r="S32" s="9">
        <f>MIN(P32+R32,'Depreciation (Summary)'!L34)</f>
        <v>339.17086844234859</v>
      </c>
      <c r="T32" s="9">
        <f t="shared" si="37"/>
        <v>2358.8533935811183</v>
      </c>
      <c r="U32" s="10">
        <v>0.10491534110348838</v>
      </c>
      <c r="V32" s="9">
        <f t="shared" si="38"/>
        <v>265.17434589561452</v>
      </c>
      <c r="W32" s="9">
        <f t="shared" si="49"/>
        <v>1.3838090489854025</v>
      </c>
      <c r="X32" s="9">
        <f t="shared" si="50"/>
        <v>266.55815494459995</v>
      </c>
      <c r="AB32" s="7" t="s">
        <v>157</v>
      </c>
      <c r="AC32" s="9">
        <f t="shared" si="39"/>
        <v>2358.8533935811183</v>
      </c>
      <c r="AD32" s="100">
        <f t="shared" si="51"/>
        <v>-1.339606154032783</v>
      </c>
      <c r="AE32" s="9">
        <f>MoF!Z14</f>
        <v>26.747</v>
      </c>
      <c r="AF32" s="9">
        <f>MIN(AC32+AE32,'Depreciation (Summary)'!R34)</f>
        <v>340.59986088178732</v>
      </c>
      <c r="AG32" s="9">
        <f t="shared" si="40"/>
        <v>2045.000532699331</v>
      </c>
      <c r="AH32" s="10">
        <v>0.10431028216235365</v>
      </c>
      <c r="AI32" s="9">
        <f t="shared" si="41"/>
        <v>229.68362282605133</v>
      </c>
      <c r="AJ32" s="9">
        <f t="shared" si="52"/>
        <v>0.77669376032063964</v>
      </c>
      <c r="AK32" s="9">
        <f t="shared" si="53"/>
        <v>230.46031658637196</v>
      </c>
      <c r="AO32" s="7" t="s">
        <v>157</v>
      </c>
      <c r="AP32" s="9">
        <f t="shared" si="42"/>
        <v>2045.000532699331</v>
      </c>
      <c r="AQ32" s="9">
        <f>MoF!AJ14</f>
        <v>13.209</v>
      </c>
      <c r="AR32" s="9">
        <f>MIN(AP32+AQ32,'Depreciation (Summary)'!X34)</f>
        <v>341.77070216178629</v>
      </c>
      <c r="AS32" s="9">
        <f t="shared" si="54"/>
        <v>1716.4388305375446</v>
      </c>
      <c r="AT32" s="10">
        <f t="shared" si="55"/>
        <v>0.10431028216235365</v>
      </c>
      <c r="AU32" s="9">
        <f t="shared" si="56"/>
        <v>196.17840065791117</v>
      </c>
      <c r="AV32" s="9">
        <f t="shared" si="57"/>
        <v>0.77669376032063964</v>
      </c>
      <c r="AW32" s="9">
        <f t="shared" si="58"/>
        <v>196.95509441823179</v>
      </c>
      <c r="BB32" s="7" t="s">
        <v>157</v>
      </c>
      <c r="BC32" s="9">
        <f t="shared" si="59"/>
        <v>1716.4388305375446</v>
      </c>
      <c r="BD32" s="9">
        <f>MoF!AT14</f>
        <v>5.5229999999999997</v>
      </c>
      <c r="BE32" s="9">
        <f>MIN(BC32+BD32,'Depreciation (Summary)'!AD34)</f>
        <v>342.47716616178627</v>
      </c>
      <c r="BF32" s="9">
        <f t="shared" si="60"/>
        <v>1379.4846643757583</v>
      </c>
      <c r="BG32" s="10">
        <f t="shared" si="61"/>
        <v>0.10431028216235365</v>
      </c>
      <c r="BH32" s="9">
        <f t="shared" si="62"/>
        <v>161.46832665373333</v>
      </c>
      <c r="BI32" s="9">
        <f t="shared" si="63"/>
        <v>0.77669376032063964</v>
      </c>
      <c r="BJ32" s="9">
        <f t="shared" si="64"/>
        <v>162.24502041405395</v>
      </c>
      <c r="BO32" s="7" t="s">
        <v>157</v>
      </c>
      <c r="BP32" s="9">
        <f t="shared" si="65"/>
        <v>1379.4846643757583</v>
      </c>
      <c r="BQ32" s="9">
        <f>MoF!BD14</f>
        <v>337.036</v>
      </c>
      <c r="BR32" s="9">
        <f>MIN(BP32+BQ32,'Depreciation (Summary)'!AJ34)</f>
        <v>354.54870803299491</v>
      </c>
      <c r="BS32" s="9">
        <f t="shared" si="66"/>
        <v>1361.9719563427634</v>
      </c>
      <c r="BT32" s="10">
        <f t="shared" si="67"/>
        <v>0.10431028216235365</v>
      </c>
      <c r="BU32" s="9">
        <f t="shared" si="68"/>
        <v>142.98105682150077</v>
      </c>
      <c r="BV32" s="9">
        <f t="shared" si="69"/>
        <v>0.77669376032063964</v>
      </c>
      <c r="BW32" s="9">
        <f t="shared" si="70"/>
        <v>143.7577505818214</v>
      </c>
    </row>
    <row r="33" spans="2:75" x14ac:dyDescent="0.35">
      <c r="B33" s="7" t="s">
        <v>158</v>
      </c>
      <c r="C33" s="99">
        <f>7561.98882858164+'KRD_8-10 LD impact'!E29</f>
        <v>7888.7275996282151</v>
      </c>
      <c r="D33" s="99">
        <f t="shared" si="43"/>
        <v>0</v>
      </c>
      <c r="E33" s="9">
        <f>MoF!F15</f>
        <v>150.49480797819996</v>
      </c>
      <c r="F33" s="9">
        <f>MIN(C33+E33,'Depreciation (Summary)'!F35)</f>
        <v>653.38591331472514</v>
      </c>
      <c r="G33" s="9">
        <f t="shared" si="44"/>
        <v>7385.8364942916896</v>
      </c>
      <c r="H33" s="10">
        <v>9.8968046262608744E-2</v>
      </c>
      <c r="I33" s="9">
        <f t="shared" si="45"/>
        <v>755.84688294412376</v>
      </c>
      <c r="J33" s="9">
        <f t="shared" si="46"/>
        <v>2.1339220921721003</v>
      </c>
      <c r="K33" s="9">
        <f t="shared" si="47"/>
        <v>757.98080503629592</v>
      </c>
      <c r="O33" s="7" t="s">
        <v>158</v>
      </c>
      <c r="P33" s="9">
        <f t="shared" si="36"/>
        <v>7385.8364942916896</v>
      </c>
      <c r="Q33" s="99">
        <f t="shared" si="48"/>
        <v>0</v>
      </c>
      <c r="R33" s="9">
        <f>MoF!P15</f>
        <v>146.34900000000002</v>
      </c>
      <c r="S33" s="9">
        <f>MIN(P33+R33,'Depreciation (Summary)'!L35)</f>
        <v>663.47516692293902</v>
      </c>
      <c r="T33" s="9">
        <f t="shared" si="37"/>
        <v>6868.7103273687508</v>
      </c>
      <c r="U33" s="10">
        <v>0.10500928616278733</v>
      </c>
      <c r="V33" s="9">
        <f t="shared" si="38"/>
        <v>748.42989315829595</v>
      </c>
      <c r="W33" s="9">
        <f t="shared" si="49"/>
        <v>4.0969040357971265</v>
      </c>
      <c r="X33" s="9">
        <f t="shared" si="50"/>
        <v>752.52679719409309</v>
      </c>
      <c r="AB33" s="7" t="s">
        <v>158</v>
      </c>
      <c r="AC33" s="9">
        <f t="shared" si="39"/>
        <v>6868.7103273687508</v>
      </c>
      <c r="AD33" s="100">
        <f t="shared" si="51"/>
        <v>0</v>
      </c>
      <c r="AE33" s="9">
        <f>MoF!Z15</f>
        <v>171.62827634260006</v>
      </c>
      <c r="AF33" s="9">
        <f>MIN(AC33+AE33,'Depreciation (Summary)'!R35)</f>
        <v>674.55818643184034</v>
      </c>
      <c r="AG33" s="9">
        <f t="shared" si="40"/>
        <v>6365.7804172795104</v>
      </c>
      <c r="AH33" s="10">
        <v>9.9705898295999434E-2</v>
      </c>
      <c r="AI33" s="9">
        <f t="shared" si="41"/>
        <v>659.77839409262265</v>
      </c>
      <c r="AJ33" s="9">
        <f t="shared" si="52"/>
        <v>3.3157633865897327</v>
      </c>
      <c r="AK33" s="9">
        <f t="shared" si="53"/>
        <v>663.09415747921241</v>
      </c>
      <c r="AO33" s="7" t="s">
        <v>158</v>
      </c>
      <c r="AP33" s="9">
        <f t="shared" si="42"/>
        <v>6365.7804172795104</v>
      </c>
      <c r="AQ33" s="9">
        <f>MoF!AJ15</f>
        <v>214.84399999999999</v>
      </c>
      <c r="AR33" s="9">
        <f>MIN(AP33+AQ33,'Depreciation (Summary)'!X35)</f>
        <v>689.01967483111218</v>
      </c>
      <c r="AS33" s="9">
        <f t="shared" si="54"/>
        <v>5891.6047424483986</v>
      </c>
      <c r="AT33" s="10">
        <f t="shared" si="55"/>
        <v>9.9705898295999434E-2</v>
      </c>
      <c r="AU33" s="9">
        <f t="shared" si="56"/>
        <v>611.06679905536191</v>
      </c>
      <c r="AV33" s="9">
        <f t="shared" si="57"/>
        <v>3.3157633865897327</v>
      </c>
      <c r="AW33" s="9">
        <f t="shared" si="58"/>
        <v>614.38256244195168</v>
      </c>
      <c r="BB33" s="7" t="s">
        <v>158</v>
      </c>
      <c r="BC33" s="9">
        <f t="shared" si="59"/>
        <v>5891.6047424483986</v>
      </c>
      <c r="BD33" s="9">
        <f>MoF!AT15</f>
        <v>29.113</v>
      </c>
      <c r="BE33" s="9">
        <f>MIN(BC33+BD33,'Depreciation (Summary)'!AD35)</f>
        <v>698.14896343556643</v>
      </c>
      <c r="BF33" s="9">
        <f t="shared" si="60"/>
        <v>5222.5687790128322</v>
      </c>
      <c r="BG33" s="10">
        <f t="shared" si="61"/>
        <v>9.9705898295999434E-2</v>
      </c>
      <c r="BH33" s="9">
        <f t="shared" si="62"/>
        <v>554.07432738745172</v>
      </c>
      <c r="BI33" s="9">
        <f t="shared" si="63"/>
        <v>3.3157633865897327</v>
      </c>
      <c r="BJ33" s="9">
        <f t="shared" si="64"/>
        <v>557.39009077404148</v>
      </c>
      <c r="BO33" s="7" t="s">
        <v>158</v>
      </c>
      <c r="BP33" s="9">
        <f t="shared" si="65"/>
        <v>5222.5687790128322</v>
      </c>
      <c r="BQ33" s="9">
        <f>MoF!BD15</f>
        <v>697.90000000000009</v>
      </c>
      <c r="BR33" s="9">
        <f>MIN(BP33+BQ33,'Depreciation (Summary)'!AJ35)</f>
        <v>725.56773943556652</v>
      </c>
      <c r="BS33" s="9">
        <f t="shared" si="66"/>
        <v>5194.9010395772657</v>
      </c>
      <c r="BT33" s="10">
        <f t="shared" si="67"/>
        <v>9.9705898295999434E-2</v>
      </c>
      <c r="BU33" s="9">
        <f t="shared" si="68"/>
        <v>519.34159311699398</v>
      </c>
      <c r="BV33" s="9">
        <f t="shared" si="69"/>
        <v>3.3157633865897327</v>
      </c>
      <c r="BW33" s="9">
        <f t="shared" si="70"/>
        <v>522.65735650358374</v>
      </c>
    </row>
    <row r="34" spans="2:75" x14ac:dyDescent="0.35">
      <c r="B34" s="7" t="s">
        <v>159</v>
      </c>
      <c r="C34" s="9">
        <f>3906.08762661264+'CPR8-9 UDL impact'!E29</f>
        <v>4065.93206661264</v>
      </c>
      <c r="D34" s="99">
        <f t="shared" si="43"/>
        <v>0</v>
      </c>
      <c r="E34" s="9">
        <f>MoF!F16</f>
        <v>5.0119903637999998</v>
      </c>
      <c r="F34" s="9">
        <f>MIN(C34+E34,'Depreciation (Summary)'!F36)</f>
        <v>316.94030329958622</v>
      </c>
      <c r="G34" s="9">
        <f t="shared" si="44"/>
        <v>3754.0037536768541</v>
      </c>
      <c r="H34" s="10">
        <v>9.8495899999999997E-2</v>
      </c>
      <c r="I34" s="9">
        <f t="shared" si="45"/>
        <v>385.115808280826</v>
      </c>
      <c r="J34" s="9">
        <f t="shared" si="46"/>
        <v>1.195702235066717</v>
      </c>
      <c r="K34" s="9">
        <f t="shared" si="47"/>
        <v>386.31151051589273</v>
      </c>
      <c r="O34" s="7" t="s">
        <v>159</v>
      </c>
      <c r="P34" s="9">
        <f t="shared" si="36"/>
        <v>3754.0037536768541</v>
      </c>
      <c r="Q34" s="99">
        <f t="shared" si="48"/>
        <v>0</v>
      </c>
      <c r="R34" s="9">
        <f>MoF!P16</f>
        <v>49.521177286699988</v>
      </c>
      <c r="S34" s="9">
        <f>MIN(P34+R34,'Depreciation (Summary)'!L36)</f>
        <v>318.77698578524502</v>
      </c>
      <c r="T34" s="9">
        <f t="shared" si="37"/>
        <v>3484.7479451783092</v>
      </c>
      <c r="U34" s="145">
        <f>10.1503034273206%*0+U55</f>
        <v>0.10689665318949208</v>
      </c>
      <c r="V34" s="9">
        <f t="shared" si="38"/>
        <v>386.8991649386835</v>
      </c>
      <c r="W34" s="9">
        <f t="shared" si="49"/>
        <v>2.7806292029708048</v>
      </c>
      <c r="X34" s="9">
        <f t="shared" si="50"/>
        <v>389.67979414165433</v>
      </c>
      <c r="Y34" s="149"/>
      <c r="AB34" s="7" t="s">
        <v>159</v>
      </c>
      <c r="AC34" s="9">
        <f t="shared" si="39"/>
        <v>3484.7479451783092</v>
      </c>
      <c r="AD34" s="100">
        <f t="shared" si="51"/>
        <v>0</v>
      </c>
      <c r="AE34" s="9">
        <f>MoF!Z16</f>
        <v>158.214</v>
      </c>
      <c r="AF34" s="9">
        <f>MIN(AC34+AE34,'Depreciation (Summary)'!R36)</f>
        <v>326.35057243001796</v>
      </c>
      <c r="AG34" s="9">
        <f t="shared" si="40"/>
        <v>3316.6113727482912</v>
      </c>
      <c r="AH34" s="101">
        <v>0.10150000000000001</v>
      </c>
      <c r="AI34" s="9">
        <f t="shared" si="41"/>
        <v>345.168985384775</v>
      </c>
      <c r="AJ34" s="9">
        <f t="shared" si="52"/>
        <v>1.5678004116412791</v>
      </c>
      <c r="AK34" s="9">
        <f t="shared" si="53"/>
        <v>346.73678579641626</v>
      </c>
      <c r="AO34" s="7" t="s">
        <v>159</v>
      </c>
      <c r="AP34" s="9">
        <f t="shared" si="42"/>
        <v>3316.6113727482912</v>
      </c>
      <c r="AQ34" s="9">
        <f>MoF!AJ16</f>
        <v>110.89399999999996</v>
      </c>
      <c r="AR34" s="9">
        <f>MIN(AP34+AQ34,'Depreciation (Summary)'!X36)</f>
        <v>336.45879953668384</v>
      </c>
      <c r="AS34" s="9">
        <f t="shared" si="54"/>
        <v>3091.0465732116072</v>
      </c>
      <c r="AT34" s="10">
        <f t="shared" si="55"/>
        <v>0.10150000000000001</v>
      </c>
      <c r="AU34" s="9">
        <f t="shared" si="56"/>
        <v>325.18864075746484</v>
      </c>
      <c r="AV34" s="9">
        <f t="shared" si="57"/>
        <v>1.5678004116412791</v>
      </c>
      <c r="AW34" s="9">
        <f t="shared" si="58"/>
        <v>326.7564411691061</v>
      </c>
      <c r="BB34" s="7" t="s">
        <v>159</v>
      </c>
      <c r="BC34" s="9">
        <f t="shared" si="59"/>
        <v>3091.0465732116072</v>
      </c>
      <c r="BD34" s="9">
        <f>MoF!AT16</f>
        <v>211.22499999999999</v>
      </c>
      <c r="BE34" s="9">
        <f>MIN(BC34+BD34,'Depreciation (Summary)'!AD36)</f>
        <v>348.60728753668383</v>
      </c>
      <c r="BF34" s="9">
        <f t="shared" si="60"/>
        <v>2953.6642856749231</v>
      </c>
      <c r="BG34" s="10">
        <f t="shared" si="61"/>
        <v>0.10150000000000001</v>
      </c>
      <c r="BH34" s="9">
        <f t="shared" si="62"/>
        <v>306.76907608849143</v>
      </c>
      <c r="BI34" s="9">
        <f t="shared" si="63"/>
        <v>1.5678004116412791</v>
      </c>
      <c r="BJ34" s="9">
        <f t="shared" si="64"/>
        <v>308.33687650013269</v>
      </c>
      <c r="BO34" s="7" t="s">
        <v>159</v>
      </c>
      <c r="BP34" s="9">
        <f t="shared" si="65"/>
        <v>2953.6642856749231</v>
      </c>
      <c r="BQ34" s="9">
        <f>MoF!BD16</f>
        <v>154.18899999999999</v>
      </c>
      <c r="BR34" s="9">
        <f>MIN(BP34+BQ34,'Depreciation (Summary)'!AJ36)</f>
        <v>362.3886155366838</v>
      </c>
      <c r="BS34" s="9">
        <f t="shared" si="66"/>
        <v>2745.4646701382389</v>
      </c>
      <c r="BT34" s="10">
        <f t="shared" si="67"/>
        <v>0.10150000000000001</v>
      </c>
      <c r="BU34" s="9">
        <f t="shared" si="68"/>
        <v>289.230794507518</v>
      </c>
      <c r="BV34" s="9">
        <f t="shared" si="69"/>
        <v>1.5678004116412791</v>
      </c>
      <c r="BW34" s="9">
        <f t="shared" si="70"/>
        <v>290.79859491915926</v>
      </c>
    </row>
    <row r="35" spans="2:75" x14ac:dyDescent="0.35">
      <c r="B35" s="7" t="s">
        <v>160</v>
      </c>
      <c r="C35" s="9">
        <f>1205.36769809887+'Parli8 UDL impact'!D29</f>
        <v>1233.1081372197491</v>
      </c>
      <c r="D35" s="99">
        <f t="shared" si="43"/>
        <v>0</v>
      </c>
      <c r="E35" s="9">
        <f>MoF!F17</f>
        <v>5.6984537812999987</v>
      </c>
      <c r="F35" s="9">
        <f>MIN(C35+E35,'Depreciation (Summary)'!F37)</f>
        <v>92.191485056104781</v>
      </c>
      <c r="G35" s="9">
        <f t="shared" si="44"/>
        <v>1146.6151059449444</v>
      </c>
      <c r="H35" s="10">
        <v>0.10373363337416727</v>
      </c>
      <c r="I35" s="9">
        <f t="shared" si="45"/>
        <v>123.42866921921531</v>
      </c>
      <c r="J35" s="9">
        <f t="shared" si="46"/>
        <v>0.23637979651667929</v>
      </c>
      <c r="K35" s="9">
        <f t="shared" si="47"/>
        <v>123.66504901573198</v>
      </c>
      <c r="O35" s="7" t="s">
        <v>160</v>
      </c>
      <c r="P35" s="9">
        <f t="shared" si="36"/>
        <v>1146.6151059449444</v>
      </c>
      <c r="Q35" s="99">
        <f t="shared" si="48"/>
        <v>0</v>
      </c>
      <c r="R35" s="9">
        <f>MoF!P17</f>
        <v>9.662658326299999</v>
      </c>
      <c r="S35" s="9">
        <f>MIN(P35+R35,'Depreciation (Summary)'!L37)</f>
        <v>92.675192474487147</v>
      </c>
      <c r="T35" s="9">
        <f t="shared" si="37"/>
        <v>1063.6025717967573</v>
      </c>
      <c r="U35" s="10">
        <v>0.11051628470140584</v>
      </c>
      <c r="V35" s="9">
        <f t="shared" si="38"/>
        <v>122.13252306269099</v>
      </c>
      <c r="W35" s="9">
        <f t="shared" si="49"/>
        <v>1.1465754571485371</v>
      </c>
      <c r="X35" s="9">
        <f t="shared" si="50"/>
        <v>123.27909851983954</v>
      </c>
      <c r="AB35" s="7" t="s">
        <v>160</v>
      </c>
      <c r="AC35" s="9">
        <f t="shared" si="39"/>
        <v>1063.6025717967573</v>
      </c>
      <c r="AD35" s="100">
        <f t="shared" si="51"/>
        <v>0</v>
      </c>
      <c r="AE35" s="9">
        <f>MoF!Z17</f>
        <v>17.815379141699996</v>
      </c>
      <c r="AF35" s="9">
        <f>MIN(AC35+AE35,'Depreciation (Summary)'!R37)</f>
        <v>93.623842335368636</v>
      </c>
      <c r="AG35" s="9">
        <f t="shared" si="40"/>
        <v>987.79410860308872</v>
      </c>
      <c r="AH35" s="10">
        <v>0.10671074094948595</v>
      </c>
      <c r="AI35" s="9">
        <f t="shared" si="41"/>
        <v>109.45302987339169</v>
      </c>
      <c r="AJ35" s="9">
        <f t="shared" si="52"/>
        <v>0.42725292366031975</v>
      </c>
      <c r="AK35" s="9">
        <f t="shared" si="53"/>
        <v>109.880282797052</v>
      </c>
      <c r="AO35" s="7" t="s">
        <v>160</v>
      </c>
      <c r="AP35" s="9">
        <f t="shared" si="42"/>
        <v>987.79410860308872</v>
      </c>
      <c r="AQ35" s="9">
        <f>MoF!AJ17</f>
        <v>72.558678569999984</v>
      </c>
      <c r="AR35" s="9">
        <f>MIN(AP35+AQ35,'Depreciation (Summary)'!X37)</f>
        <v>97.019041678994213</v>
      </c>
      <c r="AS35" s="9">
        <f t="shared" si="54"/>
        <v>963.3337454940945</v>
      </c>
      <c r="AT35" s="10">
        <f t="shared" si="55"/>
        <v>0.10671074094948595</v>
      </c>
      <c r="AU35" s="9">
        <f t="shared" si="56"/>
        <v>104.10314949894547</v>
      </c>
      <c r="AV35" s="9">
        <f t="shared" si="57"/>
        <v>0.42725292366031975</v>
      </c>
      <c r="AW35" s="9">
        <f t="shared" si="58"/>
        <v>104.53040242260579</v>
      </c>
      <c r="BB35" s="7" t="s">
        <v>160</v>
      </c>
      <c r="BC35" s="9">
        <f t="shared" si="59"/>
        <v>963.3337454940945</v>
      </c>
      <c r="BD35" s="9">
        <f>MoF!AT17</f>
        <v>5.2989999999999995</v>
      </c>
      <c r="BE35" s="9">
        <f>MIN(BC35+BD35,'Depreciation (Summary)'!AD37)</f>
        <v>99.955388413634211</v>
      </c>
      <c r="BF35" s="9">
        <f t="shared" si="60"/>
        <v>868.6773570804603</v>
      </c>
      <c r="BG35" s="10">
        <f t="shared" si="61"/>
        <v>0.10671074094948595</v>
      </c>
      <c r="BH35" s="9">
        <f t="shared" si="62"/>
        <v>97.747631091707717</v>
      </c>
      <c r="BI35" s="9">
        <f t="shared" si="63"/>
        <v>0.42725292366031975</v>
      </c>
      <c r="BJ35" s="9">
        <f t="shared" si="64"/>
        <v>98.174884015368036</v>
      </c>
      <c r="BO35" s="7" t="s">
        <v>160</v>
      </c>
      <c r="BP35" s="9">
        <f t="shared" si="65"/>
        <v>868.6773570804603</v>
      </c>
      <c r="BQ35" s="9">
        <f>MoF!BD17</f>
        <v>62.468000000000004</v>
      </c>
      <c r="BR35" s="9">
        <f>MIN(BP35+BQ35,'Depreciation (Summary)'!AJ37)</f>
        <v>102.5111724136342</v>
      </c>
      <c r="BS35" s="9">
        <f t="shared" si="66"/>
        <v>828.63418466682606</v>
      </c>
      <c r="BT35" s="10">
        <f t="shared" si="67"/>
        <v>0.10671074094948595</v>
      </c>
      <c r="BU35" s="9">
        <f t="shared" si="68"/>
        <v>90.560686120983632</v>
      </c>
      <c r="BV35" s="9">
        <f t="shared" si="69"/>
        <v>0.42725292366031975</v>
      </c>
      <c r="BW35" s="9">
        <f t="shared" si="70"/>
        <v>90.987939044643952</v>
      </c>
    </row>
    <row r="36" spans="2:75" x14ac:dyDescent="0.35">
      <c r="B36" s="7" t="s">
        <v>186</v>
      </c>
      <c r="C36" s="99">
        <f>C57</f>
        <v>31.580068287873289</v>
      </c>
      <c r="D36" s="99">
        <f t="shared" si="43"/>
        <v>-0.06</v>
      </c>
      <c r="E36" s="9">
        <f>MoF!F18</f>
        <v>5.4980143399999992</v>
      </c>
      <c r="F36" s="9">
        <f>'Depreciation (Summary)'!$F$38*F57/SUM($F$57:$F$60)</f>
        <v>29.214868053644633</v>
      </c>
      <c r="G36" s="9">
        <f t="shared" si="44"/>
        <v>7.8032145742286581</v>
      </c>
      <c r="H36" s="10">
        <v>0.10216929990185568</v>
      </c>
      <c r="I36" s="9">
        <f t="shared" si="45"/>
        <v>2.0118812189288535</v>
      </c>
      <c r="J36" s="9">
        <f t="shared" si="46"/>
        <v>1.1500986000000001E-2</v>
      </c>
      <c r="K36" s="9">
        <f t="shared" ref="K36:K39" si="71">SUM(I36:J36)</f>
        <v>2.0233822049288537</v>
      </c>
      <c r="O36" s="7" t="s">
        <v>186</v>
      </c>
      <c r="P36" s="9">
        <f t="shared" si="36"/>
        <v>7.8032145742286581</v>
      </c>
      <c r="Q36" s="99">
        <f t="shared" si="48"/>
        <v>0</v>
      </c>
      <c r="R36" s="9">
        <f>MoF!P18</f>
        <v>7.5079934999999969</v>
      </c>
      <c r="S36" s="9">
        <f>MIN('Depreciation (Summary)'!$L$38*S57/SUM($S$57:$S$60),P36+Q36+R36)</f>
        <v>15.311208074228656</v>
      </c>
      <c r="T36" s="9">
        <f t="shared" si="37"/>
        <v>0</v>
      </c>
      <c r="U36" s="10">
        <v>0.10670892206252482</v>
      </c>
      <c r="V36" s="9">
        <f t="shared" si="38"/>
        <v>0.41633630791926179</v>
      </c>
      <c r="W36" s="9">
        <f t="shared" si="49"/>
        <v>1.3858729999999999E-3</v>
      </c>
      <c r="X36" s="9">
        <f t="shared" ref="X36:X38" si="72">SUM(V36:W36)</f>
        <v>0.41772218091926178</v>
      </c>
      <c r="AB36" s="7" t="s">
        <v>186</v>
      </c>
      <c r="AC36" s="9">
        <f t="shared" si="39"/>
        <v>0</v>
      </c>
      <c r="AD36" s="100">
        <f t="shared" si="51"/>
        <v>0</v>
      </c>
      <c r="AE36" s="9">
        <f>MoF!Z18</f>
        <v>4.397610349999999</v>
      </c>
      <c r="AF36" s="9">
        <f>MIN('Depreciation (Summary)'!$R$38*AF57/SUM($AF$57:$AF$60),AC36+AD36+AE36)</f>
        <v>4.397610349999999</v>
      </c>
      <c r="AG36" s="9">
        <f t="shared" si="40"/>
        <v>0</v>
      </c>
      <c r="AH36" s="10">
        <v>0.10385509564399183</v>
      </c>
      <c r="AI36" s="9">
        <f t="shared" si="41"/>
        <v>0</v>
      </c>
      <c r="AJ36" s="9">
        <f t="shared" si="52"/>
        <v>1.0564425000000001E-2</v>
      </c>
      <c r="AK36" s="9">
        <f t="shared" si="53"/>
        <v>1.0564425000000001E-2</v>
      </c>
      <c r="AO36" s="7" t="s">
        <v>186</v>
      </c>
      <c r="AP36" s="9">
        <f t="shared" si="42"/>
        <v>0</v>
      </c>
      <c r="AQ36" s="9">
        <f>MoF!AJ18</f>
        <v>26.566420999999995</v>
      </c>
      <c r="AR36" s="9">
        <f>'Depreciation (Summary)'!$X$38*AR57/SUM($AR$57:$AR$60)</f>
        <v>8.0522402533845625</v>
      </c>
      <c r="AS36" s="9">
        <f t="shared" si="54"/>
        <v>18.51418074661543</v>
      </c>
      <c r="AT36" s="10">
        <f t="shared" si="55"/>
        <v>0.10385509564399183</v>
      </c>
      <c r="AU36" s="9">
        <f t="shared" si="56"/>
        <v>0.9613960061049488</v>
      </c>
      <c r="AV36" s="9">
        <f t="shared" si="57"/>
        <v>1.0564425000000001E-2</v>
      </c>
      <c r="AW36" s="9">
        <f t="shared" si="58"/>
        <v>0.97196043110494879</v>
      </c>
      <c r="BB36" s="7" t="s">
        <v>186</v>
      </c>
      <c r="BC36" s="9">
        <f t="shared" si="59"/>
        <v>18.51418074661543</v>
      </c>
      <c r="BD36" s="9">
        <f>MoF!AT18</f>
        <v>24.457999999999998</v>
      </c>
      <c r="BE36" s="9"/>
      <c r="BF36" s="9">
        <f t="shared" si="60"/>
        <v>42.972180746615429</v>
      </c>
      <c r="BG36" s="10">
        <f t="shared" si="61"/>
        <v>0.10385509564399183</v>
      </c>
      <c r="BH36" s="9">
        <f t="shared" si="62"/>
        <v>3.1928359768402736</v>
      </c>
      <c r="BI36" s="9">
        <f t="shared" si="63"/>
        <v>1.0564425000000001E-2</v>
      </c>
      <c r="BJ36" s="9">
        <f t="shared" si="64"/>
        <v>3.2034004018402737</v>
      </c>
      <c r="BO36" s="7" t="s">
        <v>186</v>
      </c>
      <c r="BP36" s="9">
        <f t="shared" si="65"/>
        <v>42.972180746615429</v>
      </c>
      <c r="BQ36" s="9">
        <f>MoF!BD18</f>
        <v>30.771999999999995</v>
      </c>
      <c r="BR36" s="9"/>
      <c r="BS36" s="9">
        <f t="shared" si="66"/>
        <v>73.744180746615427</v>
      </c>
      <c r="BT36" s="10">
        <f t="shared" si="67"/>
        <v>0.10385509564399183</v>
      </c>
      <c r="BU36" s="9">
        <f t="shared" si="68"/>
        <v>6.0607944430491081</v>
      </c>
      <c r="BV36" s="9">
        <f t="shared" si="69"/>
        <v>1.0564425000000001E-2</v>
      </c>
      <c r="BW36" s="9">
        <f t="shared" si="70"/>
        <v>6.0713588680491082</v>
      </c>
    </row>
    <row r="37" spans="2:75" x14ac:dyDescent="0.35">
      <c r="B37" s="7" t="s">
        <v>187</v>
      </c>
      <c r="C37" s="99">
        <f>C58</f>
        <v>0.38527227953299764</v>
      </c>
      <c r="D37" s="99">
        <f t="shared" si="43"/>
        <v>0</v>
      </c>
      <c r="E37" s="9">
        <f>MoF!F19</f>
        <v>2.7999999999999997E-2</v>
      </c>
      <c r="F37" s="9">
        <f>'Depreciation (Summary)'!$F$38*F58/SUM($F$57:$F$60)</f>
        <v>1.258933719926031E-2</v>
      </c>
      <c r="G37" s="9">
        <f t="shared" si="44"/>
        <v>0.4006829423337373</v>
      </c>
      <c r="H37" s="10">
        <v>0.1</v>
      </c>
      <c r="I37" s="9">
        <f t="shared" si="45"/>
        <v>3.9297761093336749E-2</v>
      </c>
      <c r="J37" s="9">
        <f t="shared" si="46"/>
        <v>1.1487000000000002E-4</v>
      </c>
      <c r="K37" s="9">
        <f t="shared" si="71"/>
        <v>3.9412631093336752E-2</v>
      </c>
      <c r="O37" s="7" t="s">
        <v>187</v>
      </c>
      <c r="P37" s="9">
        <f t="shared" si="36"/>
        <v>0.4006829423337373</v>
      </c>
      <c r="Q37" s="99">
        <f t="shared" si="48"/>
        <v>0</v>
      </c>
      <c r="R37" s="9">
        <f>MoF!P19</f>
        <v>0.6369999999999999</v>
      </c>
      <c r="S37" s="9">
        <f>MIN('Depreciation (Summary)'!$L$38*S58/SUM($S$57:$S$60),P37+Q37+R37)</f>
        <v>8.6286457604965436E-2</v>
      </c>
      <c r="T37" s="9">
        <f t="shared" si="37"/>
        <v>0.95139648472877181</v>
      </c>
      <c r="U37" s="10">
        <v>0.1</v>
      </c>
      <c r="V37" s="9">
        <f t="shared" si="38"/>
        <v>6.7603971353125458E-2</v>
      </c>
      <c r="W37" s="9">
        <f t="shared" si="49"/>
        <v>0</v>
      </c>
      <c r="X37" s="9">
        <f t="shared" si="72"/>
        <v>6.7603971353125458E-2</v>
      </c>
      <c r="AB37" s="7" t="s">
        <v>187</v>
      </c>
      <c r="AC37" s="9">
        <f t="shared" si="39"/>
        <v>0.95139648472877181</v>
      </c>
      <c r="AD37" s="100">
        <f t="shared" si="51"/>
        <v>0</v>
      </c>
      <c r="AE37" s="9">
        <f>MoF!Z19</f>
        <v>0.17499999999999996</v>
      </c>
      <c r="AF37" s="9">
        <f>MIN('Depreciation (Summary)'!$R$38*AF58/SUM($AF$57:$AF$60),AC37+AD37+AE37)</f>
        <v>0.50752407747276862</v>
      </c>
      <c r="AG37" s="9">
        <f t="shared" si="40"/>
        <v>0.61887240725600312</v>
      </c>
      <c r="AH37" s="146">
        <f>0%+AH58</f>
        <v>0.1</v>
      </c>
      <c r="AI37" s="9">
        <f t="shared" si="41"/>
        <v>7.8513444599238758E-2</v>
      </c>
      <c r="AJ37" s="9">
        <f t="shared" si="52"/>
        <v>3.6106799999999998E-4</v>
      </c>
      <c r="AK37" s="9">
        <f>SUM(AI37:AJ37)</f>
        <v>7.8874512599238764E-2</v>
      </c>
      <c r="AO37" s="7" t="s">
        <v>187</v>
      </c>
      <c r="AP37" s="9">
        <f t="shared" si="42"/>
        <v>0.61887240725600312</v>
      </c>
      <c r="AQ37" s="9">
        <f>MoF!AJ19</f>
        <v>1.337</v>
      </c>
      <c r="AR37" s="9">
        <f>'Depreciation (Summary)'!$X$38*AR58/SUM($AR$57:$AR$60)</f>
        <v>0.2135227349267389</v>
      </c>
      <c r="AS37" s="9">
        <f t="shared" si="54"/>
        <v>1.7423496723292642</v>
      </c>
      <c r="AT37" s="10">
        <f t="shared" si="55"/>
        <v>0.1</v>
      </c>
      <c r="AU37" s="9">
        <f t="shared" si="56"/>
        <v>0.11806110397926338</v>
      </c>
      <c r="AV37" s="9">
        <f t="shared" si="57"/>
        <v>3.6106799999999998E-4</v>
      </c>
      <c r="AW37" s="9">
        <f t="shared" si="58"/>
        <v>0.11842217197926339</v>
      </c>
      <c r="BB37" s="7" t="s">
        <v>187</v>
      </c>
      <c r="BC37" s="9">
        <f t="shared" si="59"/>
        <v>1.7423496723292642</v>
      </c>
      <c r="BD37" s="9">
        <f>MoF!AT19</f>
        <v>0</v>
      </c>
      <c r="BE37" s="9"/>
      <c r="BF37" s="9">
        <f t="shared" si="60"/>
        <v>1.7423496723292642</v>
      </c>
      <c r="BG37" s="10">
        <f t="shared" si="61"/>
        <v>0.1</v>
      </c>
      <c r="BH37" s="9">
        <f t="shared" si="62"/>
        <v>0.17423496723292642</v>
      </c>
      <c r="BI37" s="9">
        <f t="shared" si="63"/>
        <v>3.6106799999999998E-4</v>
      </c>
      <c r="BJ37" s="9">
        <f t="shared" si="64"/>
        <v>0.17459603523292641</v>
      </c>
      <c r="BO37" s="7" t="s">
        <v>187</v>
      </c>
      <c r="BP37" s="9">
        <f t="shared" si="65"/>
        <v>1.7423496723292642</v>
      </c>
      <c r="BQ37" s="9">
        <f>MoF!BD19</f>
        <v>0</v>
      </c>
      <c r="BR37" s="9"/>
      <c r="BS37" s="9">
        <f t="shared" si="66"/>
        <v>1.7423496723292642</v>
      </c>
      <c r="BT37" s="10">
        <f t="shared" si="67"/>
        <v>0.1</v>
      </c>
      <c r="BU37" s="9">
        <f t="shared" si="68"/>
        <v>0.17423496723292642</v>
      </c>
      <c r="BV37" s="9">
        <f t="shared" si="69"/>
        <v>3.6106799999999998E-4</v>
      </c>
      <c r="BW37" s="9">
        <f t="shared" si="70"/>
        <v>0.17459603523292641</v>
      </c>
    </row>
    <row r="38" spans="2:75" x14ac:dyDescent="0.35">
      <c r="B38" s="7" t="s">
        <v>188</v>
      </c>
      <c r="C38" s="99">
        <f>C59</f>
        <v>6.6851107596656316</v>
      </c>
      <c r="D38" s="99">
        <f t="shared" si="43"/>
        <v>0</v>
      </c>
      <c r="E38" s="9">
        <f>MoF!F20</f>
        <v>6.9999999999999993E-3</v>
      </c>
      <c r="F38" s="9">
        <f>'Depreciation (Summary)'!$F$38*F59/SUM($F$57:$F$60)</f>
        <v>0.47583282871782079</v>
      </c>
      <c r="G38" s="9">
        <f t="shared" si="44"/>
        <v>6.2162779309478102</v>
      </c>
      <c r="H38" s="10">
        <v>0.10300883831588067</v>
      </c>
      <c r="I38" s="9">
        <f t="shared" si="45"/>
        <v>0.66447853084086572</v>
      </c>
      <c r="J38" s="9">
        <f t="shared" si="46"/>
        <v>1.7897799999999999E-4</v>
      </c>
      <c r="K38" s="9">
        <f t="shared" si="71"/>
        <v>0.66465750884086572</v>
      </c>
      <c r="O38" s="7" t="s">
        <v>188</v>
      </c>
      <c r="P38" s="9">
        <f t="shared" si="36"/>
        <v>6.2162779309478102</v>
      </c>
      <c r="Q38" s="99">
        <f t="shared" si="48"/>
        <v>0</v>
      </c>
      <c r="R38" s="9">
        <f>MoF!P20</f>
        <v>9.2976163700000003E-2</v>
      </c>
      <c r="S38" s="9">
        <f>MIN('Depreciation (Summary)'!$L$38*S59/SUM($S$57:$S$60),P38+Q38+R38)</f>
        <v>0.98511757844929171</v>
      </c>
      <c r="T38" s="9">
        <f t="shared" si="37"/>
        <v>5.3241365161985188</v>
      </c>
      <c r="U38" s="10">
        <v>0.10943227107687228</v>
      </c>
      <c r="V38" s="9">
        <f t="shared" si="38"/>
        <v>0.63144688105978508</v>
      </c>
      <c r="W38" s="9">
        <f t="shared" si="49"/>
        <v>1.53404E-4</v>
      </c>
      <c r="X38" s="9">
        <f t="shared" si="72"/>
        <v>0.63160028505978505</v>
      </c>
      <c r="AB38" s="7" t="s">
        <v>188</v>
      </c>
      <c r="AC38" s="9">
        <f t="shared" si="39"/>
        <v>5.3241365161985188</v>
      </c>
      <c r="AD38" s="100">
        <f t="shared" si="51"/>
        <v>0</v>
      </c>
      <c r="AE38" s="9">
        <f>MoF!Z20</f>
        <v>4.0543300000000001E-3</v>
      </c>
      <c r="AF38" s="9">
        <f>MIN('Depreciation (Summary)'!$R$38*AF59/SUM($AF$57:$AF$60),AC38+AD38+AE38)</f>
        <v>2.6997599850280549</v>
      </c>
      <c r="AG38" s="9">
        <f t="shared" si="40"/>
        <v>2.6284308611704637</v>
      </c>
      <c r="AH38" s="10">
        <v>0.10159122073405977</v>
      </c>
      <c r="AI38" s="9">
        <f t="shared" si="41"/>
        <v>0.40395551391838752</v>
      </c>
      <c r="AJ38" s="9">
        <f t="shared" si="52"/>
        <v>2.156626E-3</v>
      </c>
      <c r="AK38" s="9">
        <f t="shared" si="53"/>
        <v>0.40611213991838752</v>
      </c>
      <c r="AO38" s="7" t="s">
        <v>188</v>
      </c>
      <c r="AP38" s="9">
        <f t="shared" si="42"/>
        <v>2.6284308611704637</v>
      </c>
      <c r="AQ38" s="9">
        <f>MoF!AJ20</f>
        <v>1.7149999999999996</v>
      </c>
      <c r="AR38" s="9">
        <f>'Depreciation (Summary)'!$X$38*AR59/SUM($AR$57:$AR$60)</f>
        <v>0.90182148359017245</v>
      </c>
      <c r="AS38" s="9">
        <f t="shared" si="54"/>
        <v>3.4416093775802912</v>
      </c>
      <c r="AT38" s="10">
        <f t="shared" si="55"/>
        <v>0.10159122073405977</v>
      </c>
      <c r="AU38" s="9">
        <f t="shared" si="56"/>
        <v>0.3083313988797764</v>
      </c>
      <c r="AV38" s="9">
        <f t="shared" si="57"/>
        <v>2.156626E-3</v>
      </c>
      <c r="AW38" s="9">
        <f t="shared" si="58"/>
        <v>0.31048802487977639</v>
      </c>
      <c r="BB38" s="7" t="s">
        <v>188</v>
      </c>
      <c r="BC38" s="9">
        <f t="shared" si="59"/>
        <v>3.4416093775802912</v>
      </c>
      <c r="BD38" s="9">
        <f>MoF!AT20</f>
        <v>0</v>
      </c>
      <c r="BE38" s="9"/>
      <c r="BF38" s="9">
        <f t="shared" si="60"/>
        <v>3.4416093775802912</v>
      </c>
      <c r="BG38" s="10">
        <f t="shared" si="61"/>
        <v>0.10159122073405977</v>
      </c>
      <c r="BH38" s="9">
        <f t="shared" si="62"/>
        <v>0.34963729795816939</v>
      </c>
      <c r="BI38" s="9">
        <f t="shared" si="63"/>
        <v>2.156626E-3</v>
      </c>
      <c r="BJ38" s="9">
        <f t="shared" si="64"/>
        <v>0.35179392395816939</v>
      </c>
      <c r="BO38" s="7" t="s">
        <v>188</v>
      </c>
      <c r="BP38" s="9">
        <f t="shared" si="65"/>
        <v>3.4416093775802912</v>
      </c>
      <c r="BQ38" s="9">
        <f>MoF!BD20</f>
        <v>0</v>
      </c>
      <c r="BR38" s="9"/>
      <c r="BS38" s="9">
        <f t="shared" si="66"/>
        <v>3.4416093775802912</v>
      </c>
      <c r="BT38" s="10">
        <f t="shared" si="67"/>
        <v>0.10159122073405977</v>
      </c>
      <c r="BU38" s="9">
        <f t="shared" si="68"/>
        <v>0.34963729795816939</v>
      </c>
      <c r="BV38" s="9">
        <f t="shared" si="69"/>
        <v>2.156626E-3</v>
      </c>
      <c r="BW38" s="9">
        <f t="shared" si="70"/>
        <v>0.35179392395816939</v>
      </c>
    </row>
    <row r="39" spans="2:75" x14ac:dyDescent="0.35">
      <c r="B39" s="7" t="s">
        <v>189</v>
      </c>
      <c r="C39" s="99">
        <f>C60</f>
        <v>9.3084733864834419</v>
      </c>
      <c r="D39" s="99">
        <f t="shared" si="43"/>
        <v>0</v>
      </c>
      <c r="E39" s="9">
        <f>MoF!F21</f>
        <v>3.3809999999999998</v>
      </c>
      <c r="F39" s="9">
        <f>'Depreciation (Summary)'!$F$38*F60/SUM($F$57:$F$60)</f>
        <v>1.3822639678412023</v>
      </c>
      <c r="G39" s="9">
        <f t="shared" si="44"/>
        <v>11.307209418642239</v>
      </c>
      <c r="H39" s="10">
        <v>0.10974705877887149</v>
      </c>
      <c r="I39" s="9">
        <f t="shared" si="45"/>
        <v>1.1312552762903492</v>
      </c>
      <c r="J39" s="9">
        <f t="shared" si="46"/>
        <v>5.9096909999999999E-3</v>
      </c>
      <c r="K39" s="9">
        <f t="shared" si="71"/>
        <v>1.1371649672903492</v>
      </c>
      <c r="O39" s="7" t="s">
        <v>189</v>
      </c>
      <c r="P39" s="9">
        <f t="shared" si="36"/>
        <v>11.307209418642239</v>
      </c>
      <c r="Q39" s="99">
        <f t="shared" si="48"/>
        <v>0</v>
      </c>
      <c r="R39" s="9">
        <f>MoF!P21</f>
        <v>1.7919999999999998</v>
      </c>
      <c r="S39" s="9">
        <f>MIN('Depreciation (Summary)'!$L$38*S60/SUM($S$57:$S$60),P39+Q39+R39)</f>
        <v>3.2304302293953659</v>
      </c>
      <c r="T39" s="9">
        <f t="shared" si="37"/>
        <v>9.8687791892468724</v>
      </c>
      <c r="U39" s="10">
        <v>9.9437323717708151E-2</v>
      </c>
      <c r="V39" s="9">
        <f t="shared" si="38"/>
        <v>1.0528418171225846</v>
      </c>
      <c r="W39" s="9">
        <f t="shared" si="49"/>
        <v>1.817623E-3</v>
      </c>
      <c r="X39" s="9">
        <f t="shared" si="50"/>
        <v>1.0546594401225846</v>
      </c>
      <c r="AB39" s="7" t="s">
        <v>189</v>
      </c>
      <c r="AC39" s="9">
        <f t="shared" si="39"/>
        <v>9.8687791892468724</v>
      </c>
      <c r="AD39" s="100">
        <f t="shared" si="51"/>
        <v>0</v>
      </c>
      <c r="AE39" s="9">
        <f>MoF!Z21</f>
        <v>1.3440000000000001</v>
      </c>
      <c r="AF39" s="9">
        <f>MIN('Depreciation (Summary)'!$R$38*AF60/SUM($AF$57:$AF$60),AC39+AD39+AE39)</f>
        <v>9.2518518072989515</v>
      </c>
      <c r="AG39" s="9">
        <f t="shared" si="40"/>
        <v>1.9609273819479203</v>
      </c>
      <c r="AH39" s="10">
        <v>0.10321638252760711</v>
      </c>
      <c r="AI39" s="9">
        <f t="shared" si="41"/>
        <v>0.61050975932089457</v>
      </c>
      <c r="AJ39" s="9">
        <f t="shared" si="52"/>
        <v>3.0883109999999998E-3</v>
      </c>
      <c r="AK39" s="9">
        <f t="shared" si="53"/>
        <v>0.61359807032089453</v>
      </c>
      <c r="AO39" s="7" t="s">
        <v>189</v>
      </c>
      <c r="AP39" s="9">
        <f t="shared" si="42"/>
        <v>1.9609273819479203</v>
      </c>
      <c r="AQ39" s="9">
        <f>MoF!AJ21</f>
        <v>8.6387979999999995</v>
      </c>
      <c r="AR39" s="9">
        <f>'Depreciation (Summary)'!$X$38*AR60/SUM($AR$57:$AR$60)</f>
        <v>2.3511452837769853</v>
      </c>
      <c r="AS39" s="9">
        <f t="shared" si="54"/>
        <v>8.248580098170935</v>
      </c>
      <c r="AT39" s="10">
        <f t="shared" si="55"/>
        <v>0.10321638252760711</v>
      </c>
      <c r="AU39" s="9">
        <f t="shared" si="56"/>
        <v>0.52689421474320697</v>
      </c>
      <c r="AV39" s="9">
        <f t="shared" si="57"/>
        <v>3.0883109999999998E-3</v>
      </c>
      <c r="AW39" s="9">
        <f t="shared" si="58"/>
        <v>0.52998252574320692</v>
      </c>
      <c r="BB39" s="7" t="s">
        <v>189</v>
      </c>
      <c r="BC39" s="9">
        <f t="shared" si="59"/>
        <v>8.248580098170935</v>
      </c>
      <c r="BD39" s="9">
        <f>MoF!AT21</f>
        <v>18.564</v>
      </c>
      <c r="BE39" s="9"/>
      <c r="BF39" s="9">
        <f t="shared" si="60"/>
        <v>26.812580098170933</v>
      </c>
      <c r="BG39" s="10">
        <f t="shared" si="61"/>
        <v>0.10321638252760711</v>
      </c>
      <c r="BH39" s="9">
        <f t="shared" si="62"/>
        <v>1.8094430613436672</v>
      </c>
      <c r="BI39" s="9">
        <f t="shared" si="63"/>
        <v>3.0883109999999998E-3</v>
      </c>
      <c r="BJ39" s="9">
        <f t="shared" si="64"/>
        <v>1.8125313723436671</v>
      </c>
      <c r="BO39" s="7" t="s">
        <v>189</v>
      </c>
      <c r="BP39" s="9">
        <f t="shared" si="65"/>
        <v>26.812580098170933</v>
      </c>
      <c r="BQ39" s="9">
        <f>MoF!BD21</f>
        <v>12.431999999999999</v>
      </c>
      <c r="BR39" s="9"/>
      <c r="BS39" s="9">
        <f t="shared" si="66"/>
        <v>39.244580098170928</v>
      </c>
      <c r="BT39" s="10">
        <f t="shared" si="67"/>
        <v>0.10321638252760711</v>
      </c>
      <c r="BU39" s="9">
        <f t="shared" si="68"/>
        <v>3.4090905577565223</v>
      </c>
      <c r="BV39" s="9">
        <f t="shared" si="69"/>
        <v>3.0883109999999998E-3</v>
      </c>
      <c r="BW39" s="9">
        <f t="shared" si="70"/>
        <v>3.4121788687565222</v>
      </c>
    </row>
    <row r="40" spans="2:75" x14ac:dyDescent="0.35">
      <c r="B40" s="12" t="s">
        <v>27</v>
      </c>
      <c r="C40" s="13">
        <f>SUM(C23:C39)</f>
        <v>19581.082079150776</v>
      </c>
      <c r="D40" s="13">
        <f>SUM(D23:D39)</f>
        <v>-4.1344454414048357</v>
      </c>
      <c r="E40" s="13">
        <f>SUM(E23:E39)</f>
        <v>411.98833604714417</v>
      </c>
      <c r="F40" s="13">
        <f>SUM(F23:F39)</f>
        <v>2050.3758902969516</v>
      </c>
      <c r="G40" s="13">
        <f>SUM(G23:G39)</f>
        <v>17938.560079459563</v>
      </c>
      <c r="H40" s="9"/>
      <c r="I40" s="13">
        <f>SUM(I23:I39)</f>
        <v>1862.4407615939895</v>
      </c>
      <c r="J40" s="13">
        <f>SUM(J23:J39)</f>
        <v>14.315455939811978</v>
      </c>
      <c r="K40" s="13">
        <f>SUM(K23:K39)</f>
        <v>1876.756217533801</v>
      </c>
      <c r="O40" s="12" t="s">
        <v>27</v>
      </c>
      <c r="P40" s="13">
        <f>SUM(P23:P39)</f>
        <v>17938.560079459563</v>
      </c>
      <c r="Q40" s="13">
        <f>SUM(Q23:Q39)</f>
        <v>-1.8064479837735266</v>
      </c>
      <c r="R40" s="13">
        <f>SUM(R23:R39)</f>
        <v>398.76268325739994</v>
      </c>
      <c r="S40" s="13">
        <f>SUM(S23:S39)</f>
        <v>2064.4202521039183</v>
      </c>
      <c r="T40" s="13">
        <f>SUM(T23:T39)</f>
        <v>16272.902510613047</v>
      </c>
      <c r="U40" s="9"/>
      <c r="V40" s="13">
        <f>SUM(V23:V39)</f>
        <v>1767.9763404363957</v>
      </c>
      <c r="W40" s="13">
        <f>SUM(W23:W39)</f>
        <v>24.311201065000002</v>
      </c>
      <c r="X40" s="13">
        <f>SUM(X23:X39)</f>
        <v>1792.2875415013962</v>
      </c>
      <c r="AB40" s="12" t="s">
        <v>27</v>
      </c>
      <c r="AC40" s="13">
        <f>SUM(AC23:AC39)</f>
        <v>16272.902510613047</v>
      </c>
      <c r="AD40" s="13">
        <f>SUM(AD23:AD39)</f>
        <v>-35.42884542228304</v>
      </c>
      <c r="AE40" s="13">
        <f>SUM(AE23:AE39)</f>
        <v>783.84219975600001</v>
      </c>
      <c r="AF40" s="13">
        <f>SUM(AF23:AF39)</f>
        <v>1927.5638412987844</v>
      </c>
      <c r="AG40" s="13">
        <f>SUM(AG23:AG39)</f>
        <v>15129.180869070262</v>
      </c>
      <c r="AH40" s="9"/>
      <c r="AI40" s="13">
        <f>SUM(AI23:AI39)</f>
        <v>1555.758470281444</v>
      </c>
      <c r="AJ40" s="13">
        <f>SUM(AJ23:AJ39)</f>
        <v>12.696822864000017</v>
      </c>
      <c r="AK40" s="13">
        <f>SUM(AK23:AK39)</f>
        <v>1568.4552931454441</v>
      </c>
      <c r="AO40" s="12" t="s">
        <v>27</v>
      </c>
      <c r="AP40" s="13">
        <f>SUM(AP23:AP39)</f>
        <v>15129.180869070262</v>
      </c>
      <c r="AQ40" s="13">
        <f>SUM(AQ23:AQ39)</f>
        <v>783.08912871209986</v>
      </c>
      <c r="AR40" s="13">
        <f>SUM(AR23:AR39)</f>
        <v>1993.2971854620816</v>
      </c>
      <c r="AS40" s="13">
        <f>SUM(AS23:AS39)</f>
        <v>13918.972812320279</v>
      </c>
      <c r="AT40" s="9"/>
      <c r="AU40" s="13">
        <f>SUM(AU23:AU39)</f>
        <v>1440.4638705654709</v>
      </c>
      <c r="AV40" s="13">
        <f>SUM(AV23:AV39)</f>
        <v>12.696822864000017</v>
      </c>
      <c r="AW40" s="13">
        <f>SUM(AW23:AW39)</f>
        <v>1453.1606934294709</v>
      </c>
      <c r="BB40" s="12" t="s">
        <v>27</v>
      </c>
      <c r="BC40" s="13">
        <f>SUM(BC23:BC39)</f>
        <v>13918.972812320279</v>
      </c>
      <c r="BD40" s="13">
        <f>SUM(BD23:BD39)</f>
        <v>1098.4113604069564</v>
      </c>
      <c r="BE40" s="13">
        <f>SUM(BE23:BE39)</f>
        <v>2131.0433470439725</v>
      </c>
      <c r="BF40" s="13">
        <f>SUM(BF23:BF39)</f>
        <v>12886.340825683261</v>
      </c>
      <c r="BG40" s="9"/>
      <c r="BH40" s="13">
        <f>SUM(BH23:BH39)</f>
        <v>1328.6604461212617</v>
      </c>
      <c r="BI40" s="13">
        <f>SUM(BI23:BI39)</f>
        <v>12.696822864000017</v>
      </c>
      <c r="BJ40" s="13">
        <f>SUM(BJ23:BJ39)</f>
        <v>1341.3572689852617</v>
      </c>
      <c r="BO40" s="12" t="s">
        <v>27</v>
      </c>
      <c r="BP40" s="13">
        <f>SUM(BP23:BP39)</f>
        <v>12886.340825683261</v>
      </c>
      <c r="BQ40" s="13">
        <f>SUM(BQ23:BQ39)</f>
        <v>2589.343342151165</v>
      </c>
      <c r="BR40" s="13">
        <f>SUM(BR23:BR39)</f>
        <v>2404.2993304688689</v>
      </c>
      <c r="BS40" s="13">
        <f>SUM(BS23:BS39)</f>
        <v>13071.384837365556</v>
      </c>
      <c r="BT40" s="9"/>
      <c r="BU40" s="13">
        <f>SUM(BU23:BU39)</f>
        <v>1285.9470924242978</v>
      </c>
      <c r="BV40" s="13">
        <f>SUM(BV23:BV39)</f>
        <v>12.696822864000017</v>
      </c>
      <c r="BW40" s="13">
        <f>SUM(BW23:BW39)</f>
        <v>1298.6439152882976</v>
      </c>
    </row>
    <row r="41" spans="2:75" x14ac:dyDescent="0.35">
      <c r="C41" s="148"/>
    </row>
    <row r="42" spans="2:75" x14ac:dyDescent="0.35">
      <c r="B42" s="3" t="s">
        <v>190</v>
      </c>
      <c r="O42" s="3" t="s">
        <v>191</v>
      </c>
      <c r="AB42" s="3" t="s">
        <v>192</v>
      </c>
      <c r="AO42" s="3" t="s">
        <v>193</v>
      </c>
      <c r="BB42" s="3" t="s">
        <v>194</v>
      </c>
      <c r="BO42" s="3" t="s">
        <v>195</v>
      </c>
    </row>
    <row r="43" spans="2:75" ht="30" x14ac:dyDescent="0.35">
      <c r="B43" s="102" t="s">
        <v>170</v>
      </c>
      <c r="C43" s="102" t="s">
        <v>181</v>
      </c>
      <c r="D43" s="102" t="s">
        <v>129</v>
      </c>
      <c r="E43" s="102" t="s">
        <v>114</v>
      </c>
      <c r="F43" s="102" t="s">
        <v>19</v>
      </c>
      <c r="G43" s="102" t="s">
        <v>182</v>
      </c>
      <c r="H43" s="102" t="s">
        <v>76</v>
      </c>
      <c r="I43" s="102" t="s">
        <v>183</v>
      </c>
      <c r="J43" s="102" t="s">
        <v>184</v>
      </c>
      <c r="K43" s="102" t="s">
        <v>27</v>
      </c>
      <c r="O43" s="102" t="s">
        <v>170</v>
      </c>
      <c r="P43" s="102" t="s">
        <v>181</v>
      </c>
      <c r="Q43" s="102" t="s">
        <v>129</v>
      </c>
      <c r="R43" s="102" t="s">
        <v>114</v>
      </c>
      <c r="S43" s="102" t="s">
        <v>19</v>
      </c>
      <c r="T43" s="102" t="s">
        <v>182</v>
      </c>
      <c r="U43" s="102" t="s">
        <v>76</v>
      </c>
      <c r="V43" s="102" t="s">
        <v>183</v>
      </c>
      <c r="W43" s="102" t="s">
        <v>184</v>
      </c>
      <c r="X43" s="102" t="s">
        <v>27</v>
      </c>
      <c r="AB43" s="102" t="s">
        <v>170</v>
      </c>
      <c r="AC43" s="102" t="s">
        <v>181</v>
      </c>
      <c r="AD43" s="102" t="s">
        <v>129</v>
      </c>
      <c r="AE43" s="102" t="s">
        <v>114</v>
      </c>
      <c r="AF43" s="102" t="s">
        <v>19</v>
      </c>
      <c r="AG43" s="102" t="s">
        <v>182</v>
      </c>
      <c r="AH43" s="102" t="s">
        <v>76</v>
      </c>
      <c r="AI43" s="102" t="s">
        <v>183</v>
      </c>
      <c r="AJ43" s="102" t="s">
        <v>184</v>
      </c>
      <c r="AK43" s="102" t="s">
        <v>27</v>
      </c>
      <c r="AO43" s="102" t="s">
        <v>170</v>
      </c>
      <c r="AP43" s="102" t="s">
        <v>181</v>
      </c>
      <c r="AQ43" s="102" t="s">
        <v>114</v>
      </c>
      <c r="AR43" s="102" t="s">
        <v>19</v>
      </c>
      <c r="AS43" s="102" t="s">
        <v>182</v>
      </c>
      <c r="AT43" s="102" t="s">
        <v>76</v>
      </c>
      <c r="AU43" s="102" t="s">
        <v>183</v>
      </c>
      <c r="AV43" s="102" t="s">
        <v>184</v>
      </c>
      <c r="AW43" s="102" t="s">
        <v>27</v>
      </c>
      <c r="BB43" s="102" t="s">
        <v>170</v>
      </c>
      <c r="BC43" s="102" t="s">
        <v>181</v>
      </c>
      <c r="BD43" s="102" t="s">
        <v>114</v>
      </c>
      <c r="BE43" s="102" t="s">
        <v>19</v>
      </c>
      <c r="BF43" s="102" t="s">
        <v>182</v>
      </c>
      <c r="BG43" s="102" t="s">
        <v>76</v>
      </c>
      <c r="BH43" s="102" t="s">
        <v>183</v>
      </c>
      <c r="BI43" s="102" t="s">
        <v>184</v>
      </c>
      <c r="BJ43" s="102" t="s">
        <v>27</v>
      </c>
      <c r="BO43" s="102" t="s">
        <v>170</v>
      </c>
      <c r="BP43" s="102" t="s">
        <v>181</v>
      </c>
      <c r="BQ43" s="102" t="s">
        <v>114</v>
      </c>
      <c r="BR43" s="102" t="s">
        <v>19</v>
      </c>
      <c r="BS43" s="102" t="s">
        <v>182</v>
      </c>
      <c r="BT43" s="102" t="s">
        <v>76</v>
      </c>
      <c r="BU43" s="102" t="s">
        <v>183</v>
      </c>
      <c r="BV43" s="102" t="s">
        <v>184</v>
      </c>
      <c r="BW43" s="102" t="s">
        <v>27</v>
      </c>
    </row>
    <row r="44" spans="2:75" x14ac:dyDescent="0.35">
      <c r="B44" s="7" t="s">
        <v>43</v>
      </c>
      <c r="C44" s="9">
        <v>15.662863175839741</v>
      </c>
      <c r="D44" s="9">
        <v>-0.14787759694351216</v>
      </c>
      <c r="E44" s="9">
        <f>MoF!E5</f>
        <v>2.5992969183999999</v>
      </c>
      <c r="F44" s="9">
        <f>'Depreciation (Summary)'!C25</f>
        <v>9.495916584909196</v>
      </c>
      <c r="G44" s="9">
        <f>C44+D44+E44-F44</f>
        <v>8.6183659123870306</v>
      </c>
      <c r="H44" s="10">
        <v>0.10888672254177105</v>
      </c>
      <c r="I44" s="9">
        <f t="shared" ref="I44:I60" si="73">AVERAGE(C44,G44)*H44</f>
        <v>1.3219517273514645</v>
      </c>
      <c r="J44" s="9">
        <v>0.50085193318802113</v>
      </c>
      <c r="K44" s="9">
        <f>SUM(I44:J44)</f>
        <v>1.8228036605394857</v>
      </c>
      <c r="O44" s="7" t="s">
        <v>43</v>
      </c>
      <c r="P44" s="9">
        <v>8.6183659123870306</v>
      </c>
      <c r="Q44" s="9">
        <v>0</v>
      </c>
      <c r="R44" s="9">
        <f>MoF!O5</f>
        <v>4.3187898599999999</v>
      </c>
      <c r="S44" s="9">
        <f>'Depreciation (Summary)'!I25</f>
        <v>10.619280478829815</v>
      </c>
      <c r="T44" s="9">
        <f>P44+Q44+R44-S44</f>
        <v>2.3178752935572149</v>
      </c>
      <c r="U44" s="10">
        <v>0.10373461751439103</v>
      </c>
      <c r="V44" s="9">
        <f t="shared" ref="V44:V60" si="74">AVERAGE(P44,T44)*U44</f>
        <v>0.56723339927187444</v>
      </c>
      <c r="W44" s="9">
        <v>0.69926879481993931</v>
      </c>
      <c r="X44" s="9">
        <f>SUM(V44:W44)</f>
        <v>1.2665021940918137</v>
      </c>
      <c r="AB44" s="7" t="s">
        <v>43</v>
      </c>
      <c r="AC44" s="9">
        <v>2.3178752935572149</v>
      </c>
      <c r="AD44" s="9">
        <v>-7.5486037261168802E-4</v>
      </c>
      <c r="AE44" s="9">
        <f>MoF!Y5</f>
        <v>1.2615052779</v>
      </c>
      <c r="AF44" s="9">
        <v>3.5793805714572149</v>
      </c>
      <c r="AG44" s="9">
        <f>AC44+AD44+AE44-AF44</f>
        <v>-7.5486037261152106E-4</v>
      </c>
      <c r="AH44" s="10">
        <v>0.10678562227863277</v>
      </c>
      <c r="AI44" s="9">
        <f t="shared" ref="AI44:AI60" si="75">AVERAGE(AC44,AG44)*AH44</f>
        <v>0.1237175736760765</v>
      </c>
      <c r="AJ44" s="9">
        <v>0.28701044119787716</v>
      </c>
      <c r="AK44" s="9">
        <f>SUM(AI44:AJ44)</f>
        <v>0.41072801487395366</v>
      </c>
      <c r="AO44" s="7" t="s">
        <v>43</v>
      </c>
      <c r="AP44" s="9">
        <f>AG44</f>
        <v>-7.5486037261152106E-4</v>
      </c>
      <c r="AQ44" s="9">
        <f>MoF!AI5</f>
        <v>0</v>
      </c>
      <c r="AR44" s="9">
        <v>-7.5486037261152106E-4</v>
      </c>
      <c r="AS44" s="9">
        <f>AP44+AQ44-AR44</f>
        <v>0</v>
      </c>
      <c r="AT44" s="10">
        <f>AH44</f>
        <v>0.10678562227863277</v>
      </c>
      <c r="AU44" s="9">
        <f>AVERAGE(AP44,AS44)*AT44</f>
        <v>-4.0304117311400935E-5</v>
      </c>
      <c r="AV44" s="9">
        <f>AJ44</f>
        <v>0.28701044119787716</v>
      </c>
      <c r="AW44" s="9">
        <f>SUM(AU44:AV44)</f>
        <v>0.28697013708056579</v>
      </c>
      <c r="BB44" s="7" t="s">
        <v>43</v>
      </c>
      <c r="BC44" s="9">
        <f>AS44</f>
        <v>0</v>
      </c>
      <c r="BD44" s="9">
        <f>MoF!AS5</f>
        <v>3.8779999999999997</v>
      </c>
      <c r="BE44" s="9">
        <v>3.8779999999999997</v>
      </c>
      <c r="BF44" s="9">
        <f>BC44+BD44-BE44</f>
        <v>0</v>
      </c>
      <c r="BG44" s="10">
        <f>AT44</f>
        <v>0.10678562227863277</v>
      </c>
      <c r="BH44" s="9">
        <f>AVERAGE(BC44,BF44)*BG44</f>
        <v>0</v>
      </c>
      <c r="BI44" s="9">
        <f>AV44</f>
        <v>0.28701044119787716</v>
      </c>
      <c r="BJ44" s="9">
        <f>SUM(BH44:BI44)</f>
        <v>0.28701044119787716</v>
      </c>
      <c r="BO44" s="7" t="s">
        <v>43</v>
      </c>
      <c r="BP44" s="9">
        <f>BF44</f>
        <v>0</v>
      </c>
      <c r="BQ44" s="9">
        <f>MoF!BC5</f>
        <v>0</v>
      </c>
      <c r="BR44" s="9">
        <v>0</v>
      </c>
      <c r="BS44" s="9">
        <f>BP44+BQ44-BR44</f>
        <v>0</v>
      </c>
      <c r="BT44" s="10">
        <f>BG44</f>
        <v>0.10678562227863277</v>
      </c>
      <c r="BU44" s="9">
        <f>AVERAGE(BP44,BS44)*BT44</f>
        <v>0</v>
      </c>
      <c r="BV44" s="9">
        <f>BI44</f>
        <v>0.28701044119787716</v>
      </c>
      <c r="BW44" s="9">
        <f>SUM(BU44:BV44)</f>
        <v>0.28701044119787716</v>
      </c>
    </row>
    <row r="45" spans="2:75" x14ac:dyDescent="0.35">
      <c r="B45" s="7" t="s">
        <v>150</v>
      </c>
      <c r="C45" s="9">
        <v>341.95</v>
      </c>
      <c r="D45" s="9">
        <v>0</v>
      </c>
      <c r="E45" s="9">
        <f>MoF!E6</f>
        <v>37.885935087</v>
      </c>
      <c r="F45" s="9">
        <f>'Depreciation (Summary)'!C26</f>
        <v>26.097988784706597</v>
      </c>
      <c r="G45" s="9">
        <f t="shared" ref="G45:G60" si="76">C45+D45+E45-F45</f>
        <v>353.73794630229338</v>
      </c>
      <c r="H45" s="10">
        <v>0.10611529143033999</v>
      </c>
      <c r="I45" s="9">
        <f t="shared" si="73"/>
        <v>36.911564583221285</v>
      </c>
      <c r="J45" s="9">
        <v>3.180115280288097</v>
      </c>
      <c r="K45" s="9">
        <f t="shared" ref="K45:K56" si="77">SUM(I45:J45)</f>
        <v>40.091679863509384</v>
      </c>
      <c r="O45" s="7" t="s">
        <v>150</v>
      </c>
      <c r="P45" s="9">
        <v>353.73794630229338</v>
      </c>
      <c r="Q45" s="9">
        <v>0</v>
      </c>
      <c r="R45" s="9">
        <f>MoF!O6</f>
        <v>41.924068643800005</v>
      </c>
      <c r="S45" s="9">
        <f>'Depreciation (Summary)'!I26</f>
        <v>31.383275990113983</v>
      </c>
      <c r="T45" s="9">
        <f t="shared" ref="T45:T60" si="78">P45+Q45+R45-S45</f>
        <v>364.27873895597941</v>
      </c>
      <c r="U45" s="10">
        <v>0.10130014960560957</v>
      </c>
      <c r="V45" s="9">
        <f t="shared" si="74"/>
        <v>36.367598817993454</v>
      </c>
      <c r="W45" s="9">
        <v>3.1966573477482942</v>
      </c>
      <c r="X45" s="9">
        <f t="shared" ref="X45:X56" si="79">SUM(V45:W45)</f>
        <v>39.564256165741746</v>
      </c>
      <c r="AB45" s="7" t="s">
        <v>150</v>
      </c>
      <c r="AC45" s="9">
        <v>364.27873895597941</v>
      </c>
      <c r="AD45" s="9">
        <v>-0.33562538307180589</v>
      </c>
      <c r="AE45" s="9">
        <f>MoF!Y6</f>
        <v>278.30541961879987</v>
      </c>
      <c r="AF45" s="9">
        <v>68.444944787981768</v>
      </c>
      <c r="AG45" s="9">
        <f t="shared" ref="AG45:AG60" si="80">AC45+AD45+AE45-AF45</f>
        <v>573.80358840372571</v>
      </c>
      <c r="AH45" s="10">
        <v>0.10260443317552016</v>
      </c>
      <c r="AI45" s="9">
        <f t="shared" si="75"/>
        <v>48.125702735357649</v>
      </c>
      <c r="AJ45" s="9">
        <v>1.3120477311902958</v>
      </c>
      <c r="AK45" s="9">
        <f t="shared" ref="AK45:AK60" si="81">SUM(AI45:AJ45)</f>
        <v>49.437750466547946</v>
      </c>
      <c r="AO45" s="7" t="s">
        <v>150</v>
      </c>
      <c r="AP45" s="9">
        <f t="shared" ref="AP45:AP60" si="82">AG45</f>
        <v>573.80358840372571</v>
      </c>
      <c r="AQ45" s="9">
        <f>MoF!AI6</f>
        <v>148.32299999999998</v>
      </c>
      <c r="AR45" s="9">
        <v>91.435086088631635</v>
      </c>
      <c r="AS45" s="9">
        <f t="shared" ref="AS45:AS60" si="83">AP45+AQ45-AR45</f>
        <v>630.69150231509411</v>
      </c>
      <c r="AT45" s="10">
        <f t="shared" ref="AT45:AT60" si="84">AH45</f>
        <v>0.10260443317552016</v>
      </c>
      <c r="AU45" s="9">
        <f t="shared" ref="AU45:AU60" si="85">AVERAGE(AP45,AS45)*AT45</f>
        <v>61.793268022950627</v>
      </c>
      <c r="AV45" s="9">
        <f t="shared" ref="AV45:AV60" si="86">AJ45</f>
        <v>1.3120477311902958</v>
      </c>
      <c r="AW45" s="9">
        <f t="shared" ref="AW45:AW60" si="87">SUM(AU45:AV45)</f>
        <v>63.105315754140925</v>
      </c>
      <c r="BB45" s="7" t="s">
        <v>150</v>
      </c>
      <c r="BC45" s="9">
        <f t="shared" ref="BC45:BC60" si="88">AS45</f>
        <v>630.69150231509411</v>
      </c>
      <c r="BD45" s="9">
        <f>MoF!AS6</f>
        <v>288.34399999999999</v>
      </c>
      <c r="BE45" s="9">
        <v>141.95470500617563</v>
      </c>
      <c r="BF45" s="9">
        <f t="shared" ref="BF45:BF60" si="89">BC45+BD45-BE45</f>
        <v>777.08079730891859</v>
      </c>
      <c r="BG45" s="10">
        <f t="shared" ref="BG45:BG60" si="90">AT45</f>
        <v>0.10260443317552016</v>
      </c>
      <c r="BH45" s="9">
        <f t="shared" ref="BH45:BH60" si="91">AVERAGE(BC45,BF45)*BG45</f>
        <v>72.221839421560176</v>
      </c>
      <c r="BI45" s="9">
        <f t="shared" ref="BI45:BI60" si="92">AV45</f>
        <v>1.3120477311902958</v>
      </c>
      <c r="BJ45" s="9">
        <f t="shared" ref="BJ45:BJ60" si="93">SUM(BH45:BI45)</f>
        <v>73.533887152750466</v>
      </c>
      <c r="BO45" s="7" t="s">
        <v>150</v>
      </c>
      <c r="BP45" s="9">
        <f t="shared" ref="BP45:BP60" si="94">BF45</f>
        <v>777.08079730891859</v>
      </c>
      <c r="BQ45" s="9">
        <f>MoF!BC6</f>
        <v>1197.3919999999998</v>
      </c>
      <c r="BR45" s="9">
        <v>250.04656560993391</v>
      </c>
      <c r="BS45" s="9">
        <f t="shared" ref="BS45:BS60" si="95">BP45+BQ45-BR45</f>
        <v>1724.4262316989846</v>
      </c>
      <c r="BT45" s="10">
        <f t="shared" ref="BT45:BT60" si="96">BG45</f>
        <v>0.10260443317552016</v>
      </c>
      <c r="BU45" s="9">
        <f t="shared" ref="BU45:BU60" si="97">AVERAGE(BP45,BS45)*BT45</f>
        <v>128.33285539796768</v>
      </c>
      <c r="BV45" s="9">
        <f t="shared" ref="BV45:BV60" si="98">BI45</f>
        <v>1.3120477311902958</v>
      </c>
      <c r="BW45" s="9">
        <f t="shared" ref="BW45:BW60" si="99">SUM(BU45:BV45)</f>
        <v>129.64490312915797</v>
      </c>
    </row>
    <row r="46" spans="2:75" x14ac:dyDescent="0.35">
      <c r="B46" s="7" t="s">
        <v>151</v>
      </c>
      <c r="C46" s="9">
        <v>67.14</v>
      </c>
      <c r="D46" s="9">
        <v>-8.2108959781933381E-3</v>
      </c>
      <c r="E46" s="9">
        <f>MoF!E7</f>
        <v>8.4043443567999994</v>
      </c>
      <c r="F46" s="9">
        <f>'Depreciation (Summary)'!C27</f>
        <v>19.177388431237922</v>
      </c>
      <c r="G46" s="9">
        <f t="shared" si="76"/>
        <v>56.358745029583879</v>
      </c>
      <c r="H46" s="10">
        <v>0.10738866943314648</v>
      </c>
      <c r="I46" s="9">
        <f t="shared" si="73"/>
        <v>6.6311829526952133</v>
      </c>
      <c r="J46" s="9">
        <v>1.8079849043760425</v>
      </c>
      <c r="K46" s="9">
        <f t="shared" si="77"/>
        <v>8.4391678570712561</v>
      </c>
      <c r="O46" s="7" t="s">
        <v>151</v>
      </c>
      <c r="P46" s="9">
        <v>56.358745029583879</v>
      </c>
      <c r="Q46" s="9">
        <v>-7.1979321784067157E-2</v>
      </c>
      <c r="R46" s="9">
        <f>MoF!O7</f>
        <v>9.7694197943999992</v>
      </c>
      <c r="S46" s="9">
        <f>'Depreciation (Summary)'!I27</f>
        <v>20.125799034556714</v>
      </c>
      <c r="T46" s="9">
        <f t="shared" si="78"/>
        <v>45.930386467643096</v>
      </c>
      <c r="U46" s="10">
        <v>0.10274839515696355</v>
      </c>
      <c r="V46" s="9">
        <f t="shared" si="74"/>
        <v>5.255022051669842</v>
      </c>
      <c r="W46" s="9">
        <v>1.3985375896398786</v>
      </c>
      <c r="X46" s="9">
        <f t="shared" si="79"/>
        <v>6.6535596413097204</v>
      </c>
      <c r="AB46" s="7" t="s">
        <v>151</v>
      </c>
      <c r="AC46" s="9">
        <v>45.930386467643096</v>
      </c>
      <c r="AD46" s="9">
        <v>-0.25930869441464227</v>
      </c>
      <c r="AE46" s="9">
        <f>MoF!Y7</f>
        <v>23.2747999491</v>
      </c>
      <c r="AF46" s="9">
        <v>22.083481950979017</v>
      </c>
      <c r="AG46" s="9">
        <f t="shared" si="80"/>
        <v>46.862395771349426</v>
      </c>
      <c r="AH46" s="10">
        <v>0.10370363037228982</v>
      </c>
      <c r="AI46" s="9">
        <f t="shared" si="75"/>
        <v>4.81147419526443</v>
      </c>
      <c r="AJ46" s="9">
        <v>0.57402088239575433</v>
      </c>
      <c r="AK46" s="9">
        <f t="shared" si="81"/>
        <v>5.3854950776601846</v>
      </c>
      <c r="AO46" s="7" t="s">
        <v>151</v>
      </c>
      <c r="AP46" s="9">
        <f t="shared" si="82"/>
        <v>46.862395771349426</v>
      </c>
      <c r="AQ46" s="9">
        <f>MoF!AI7</f>
        <v>32.039000000000001</v>
      </c>
      <c r="AR46" s="9">
        <v>25.243286030606054</v>
      </c>
      <c r="AS46" s="9">
        <f t="shared" si="83"/>
        <v>53.65810974074337</v>
      </c>
      <c r="AT46" s="10">
        <f t="shared" si="84"/>
        <v>0.10370363037228982</v>
      </c>
      <c r="AU46" s="9">
        <f t="shared" si="85"/>
        <v>5.2121706742308964</v>
      </c>
      <c r="AV46" s="9">
        <f t="shared" si="86"/>
        <v>0.57402088239575433</v>
      </c>
      <c r="AW46" s="9">
        <f t="shared" si="87"/>
        <v>5.7861915566266511</v>
      </c>
      <c r="BB46" s="7" t="s">
        <v>151</v>
      </c>
      <c r="BC46" s="9">
        <f t="shared" si="88"/>
        <v>53.65810974074337</v>
      </c>
      <c r="BD46" s="9">
        <f>MoF!AS7</f>
        <v>454.67799999999994</v>
      </c>
      <c r="BE46" s="9">
        <v>133.38268056429411</v>
      </c>
      <c r="BF46" s="9">
        <f t="shared" si="89"/>
        <v>374.95342917644922</v>
      </c>
      <c r="BG46" s="10">
        <f t="shared" si="90"/>
        <v>0.10370363037228982</v>
      </c>
      <c r="BH46" s="9">
        <f>AVERAGE(BC46,BF46)*BG46-0.025</f>
        <v>22.199286302583427</v>
      </c>
      <c r="BI46" s="9">
        <f t="shared" si="92"/>
        <v>0.57402088239575433</v>
      </c>
      <c r="BJ46" s="9">
        <f t="shared" si="93"/>
        <v>22.773307184979181</v>
      </c>
      <c r="BO46" s="7" t="s">
        <v>151</v>
      </c>
      <c r="BP46" s="9">
        <f t="shared" si="94"/>
        <v>374.95342917644922</v>
      </c>
      <c r="BQ46" s="9">
        <f>MoF!BC7</f>
        <v>249.40299999999999</v>
      </c>
      <c r="BR46" s="9">
        <v>159.72643096741822</v>
      </c>
      <c r="BS46" s="9">
        <f t="shared" si="95"/>
        <v>464.62999820903099</v>
      </c>
      <c r="BT46" s="10">
        <f t="shared" si="96"/>
        <v>0.10370363037228982</v>
      </c>
      <c r="BU46" s="9">
        <f>AVERAGE(BP46,BS46)*BT46-0.064</f>
        <v>43.469924710142038</v>
      </c>
      <c r="BV46" s="9">
        <f t="shared" si="98"/>
        <v>0.57402088239575433</v>
      </c>
      <c r="BW46" s="9">
        <f t="shared" si="99"/>
        <v>44.043945592537796</v>
      </c>
    </row>
    <row r="47" spans="2:75" x14ac:dyDescent="0.35">
      <c r="B47" s="7" t="s">
        <v>44</v>
      </c>
      <c r="C47" s="9">
        <v>374.055740519305</v>
      </c>
      <c r="D47" s="9">
        <v>0</v>
      </c>
      <c r="E47" s="9">
        <f>MoF!E8</f>
        <v>28.875314478499991</v>
      </c>
      <c r="F47" s="9">
        <f>'Depreciation (Summary)'!C28</f>
        <v>62.484397160975718</v>
      </c>
      <c r="G47" s="9">
        <f t="shared" si="76"/>
        <v>340.44665783682927</v>
      </c>
      <c r="H47" s="10">
        <v>4.6810520342983761E-2</v>
      </c>
      <c r="I47" s="9">
        <f t="shared" si="73"/>
        <v>16.723114526680256</v>
      </c>
      <c r="J47" s="9">
        <v>1.4003598331880212</v>
      </c>
      <c r="K47" s="9">
        <f t="shared" si="77"/>
        <v>18.123474359868275</v>
      </c>
      <c r="O47" s="7" t="s">
        <v>44</v>
      </c>
      <c r="P47" s="9">
        <v>340.44665783682927</v>
      </c>
      <c r="Q47" s="9">
        <v>-8.0194008611009449E-2</v>
      </c>
      <c r="R47" s="9">
        <f>MoF!O8</f>
        <v>78.612267296500008</v>
      </c>
      <c r="S47" s="9">
        <f>'Depreciation (Summary)'!I28</f>
        <v>67.023490142527791</v>
      </c>
      <c r="T47" s="9">
        <f t="shared" si="78"/>
        <v>351.9552409821905</v>
      </c>
      <c r="U47" s="10">
        <v>3.1492540075668568E-2</v>
      </c>
      <c r="V47" s="9">
        <f t="shared" si="74"/>
        <v>10.902747273513498</v>
      </c>
      <c r="W47" s="9">
        <v>2.7605392491767047</v>
      </c>
      <c r="X47" s="9">
        <f t="shared" si="79"/>
        <v>13.663286522690203</v>
      </c>
      <c r="AB47" s="7" t="s">
        <v>44</v>
      </c>
      <c r="AC47" s="9">
        <v>351.9552409821905</v>
      </c>
      <c r="AD47" s="9">
        <v>-32.0765161117614</v>
      </c>
      <c r="AE47" s="9">
        <f>MoF!Y8</f>
        <v>6.0676609083999988</v>
      </c>
      <c r="AF47" s="9">
        <v>34.001760788898821</v>
      </c>
      <c r="AG47" s="9">
        <f t="shared" si="80"/>
        <v>291.94462498993028</v>
      </c>
      <c r="AH47" s="10">
        <v>5.7176452443082768E-2</v>
      </c>
      <c r="AI47" s="9">
        <f t="shared" si="75"/>
        <v>18.407955032431165</v>
      </c>
      <c r="AJ47" s="9">
        <v>0.28701044119787716</v>
      </c>
      <c r="AK47" s="9">
        <f t="shared" si="81"/>
        <v>18.694965473629043</v>
      </c>
      <c r="AO47" s="7" t="s">
        <v>44</v>
      </c>
      <c r="AP47" s="9">
        <f t="shared" si="82"/>
        <v>291.94462498993028</v>
      </c>
      <c r="AQ47" s="9">
        <f>MoF!AI8</f>
        <v>34.628999999999998</v>
      </c>
      <c r="AR47" s="9">
        <v>34.900407990753969</v>
      </c>
      <c r="AS47" s="9">
        <f t="shared" si="83"/>
        <v>291.6732169991763</v>
      </c>
      <c r="AT47" s="10">
        <f t="shared" si="84"/>
        <v>5.7176452443082768E-2</v>
      </c>
      <c r="AU47" s="9">
        <f t="shared" si="85"/>
        <v>16.684598893712373</v>
      </c>
      <c r="AV47" s="9">
        <f t="shared" si="86"/>
        <v>0.28701044119787716</v>
      </c>
      <c r="AW47" s="9">
        <f t="shared" si="87"/>
        <v>16.971609334910251</v>
      </c>
      <c r="BB47" s="7" t="s">
        <v>44</v>
      </c>
      <c r="BC47" s="9">
        <f t="shared" si="88"/>
        <v>291.6732169991763</v>
      </c>
      <c r="BD47" s="9">
        <f>MoF!AS8</f>
        <v>84.21</v>
      </c>
      <c r="BE47" s="9">
        <v>66.562579175145032</v>
      </c>
      <c r="BF47" s="9">
        <f t="shared" si="89"/>
        <v>309.32063782403122</v>
      </c>
      <c r="BG47" s="10">
        <f t="shared" si="90"/>
        <v>5.7176452443082768E-2</v>
      </c>
      <c r="BH47" s="9">
        <f t="shared" si="91"/>
        <v>17.181348279442059</v>
      </c>
      <c r="BI47" s="9">
        <f t="shared" si="92"/>
        <v>0.28701044119787716</v>
      </c>
      <c r="BJ47" s="9">
        <f t="shared" si="93"/>
        <v>17.468358720639937</v>
      </c>
      <c r="BO47" s="7" t="s">
        <v>44</v>
      </c>
      <c r="BP47" s="9">
        <f t="shared" si="94"/>
        <v>309.32063782403122</v>
      </c>
      <c r="BQ47" s="9">
        <f>MoF!BC8</f>
        <v>176.01499999999999</v>
      </c>
      <c r="BR47" s="9">
        <v>76.155242961893663</v>
      </c>
      <c r="BS47" s="9">
        <f t="shared" si="95"/>
        <v>409.18039486213752</v>
      </c>
      <c r="BT47" s="10">
        <f t="shared" si="96"/>
        <v>5.7176452443082768E-2</v>
      </c>
      <c r="BU47" s="9">
        <f t="shared" si="97"/>
        <v>20.540670062843294</v>
      </c>
      <c r="BV47" s="9">
        <f t="shared" si="98"/>
        <v>0.28701044119787716</v>
      </c>
      <c r="BW47" s="9">
        <f t="shared" si="99"/>
        <v>20.827680504041172</v>
      </c>
    </row>
    <row r="48" spans="2:75" x14ac:dyDescent="0.35">
      <c r="B48" s="7" t="s">
        <v>152</v>
      </c>
      <c r="C48" s="9">
        <v>35.79372707716162</v>
      </c>
      <c r="D48" s="9">
        <v>-0.31100874125271466</v>
      </c>
      <c r="E48" s="9">
        <f>MoF!E9</f>
        <v>24.131916059999998</v>
      </c>
      <c r="F48" s="9">
        <f>'Depreciation (Summary)'!C29</f>
        <v>14.781716828882006</v>
      </c>
      <c r="G48" s="9">
        <f t="shared" si="76"/>
        <v>44.832917567026904</v>
      </c>
      <c r="H48" s="10">
        <v>0.1054367704636273</v>
      </c>
      <c r="I48" s="9">
        <f t="shared" si="73"/>
        <v>4.2505065123008761</v>
      </c>
      <c r="J48" s="9">
        <v>0.64362874778203183</v>
      </c>
      <c r="K48" s="9">
        <f t="shared" si="77"/>
        <v>4.8941352600829076</v>
      </c>
      <c r="O48" s="7" t="s">
        <v>152</v>
      </c>
      <c r="P48" s="9">
        <v>44.832917567026904</v>
      </c>
      <c r="Q48" s="9">
        <v>0</v>
      </c>
      <c r="R48" s="9">
        <f>MoF!O9</f>
        <v>3.6750678299999997</v>
      </c>
      <c r="S48" s="9">
        <f>'Depreciation (Summary)'!I29</f>
        <v>15.551450272872323</v>
      </c>
      <c r="T48" s="9">
        <f t="shared" si="78"/>
        <v>32.956535124154577</v>
      </c>
      <c r="U48" s="10">
        <v>9.8146411143060483E-2</v>
      </c>
      <c r="V48" s="9">
        <f t="shared" si="74"/>
        <v>3.8173778032111754</v>
      </c>
      <c r="W48" s="9">
        <v>1.5854964852391933</v>
      </c>
      <c r="X48" s="9">
        <f t="shared" si="79"/>
        <v>5.4028742884503682</v>
      </c>
      <c r="AB48" s="7" t="s">
        <v>152</v>
      </c>
      <c r="AC48" s="9">
        <v>32.956535124154577</v>
      </c>
      <c r="AD48" s="9">
        <v>0</v>
      </c>
      <c r="AE48" s="9">
        <f>MoF!Y9</f>
        <v>7.0248755499999991</v>
      </c>
      <c r="AF48" s="9">
        <v>16.747270515741278</v>
      </c>
      <c r="AG48" s="9">
        <f t="shared" si="80"/>
        <v>23.234140158413297</v>
      </c>
      <c r="AH48" s="10">
        <v>0.10431859364423639</v>
      </c>
      <c r="AI48" s="9">
        <f t="shared" si="75"/>
        <v>2.9308661106987177</v>
      </c>
      <c r="AJ48" s="9">
        <v>0.98590407682400583</v>
      </c>
      <c r="AK48" s="9">
        <f t="shared" si="81"/>
        <v>3.9167701875227237</v>
      </c>
      <c r="AO48" s="7" t="s">
        <v>152</v>
      </c>
      <c r="AP48" s="9">
        <f t="shared" si="82"/>
        <v>23.234140158413297</v>
      </c>
      <c r="AQ48" s="9">
        <f>MoF!AI9</f>
        <v>4.3330000000000002</v>
      </c>
      <c r="AR48" s="9">
        <v>27.567140158413295</v>
      </c>
      <c r="AS48" s="9">
        <f t="shared" si="83"/>
        <v>0</v>
      </c>
      <c r="AT48" s="10">
        <f t="shared" si="84"/>
        <v>0.10431859364423639</v>
      </c>
      <c r="AU48" s="9">
        <f t="shared" si="85"/>
        <v>1.2118764129293753</v>
      </c>
      <c r="AV48" s="9">
        <f t="shared" si="86"/>
        <v>0.98590407682400583</v>
      </c>
      <c r="AW48" s="9">
        <f t="shared" si="87"/>
        <v>2.1977804897533813</v>
      </c>
      <c r="BB48" s="7" t="s">
        <v>152</v>
      </c>
      <c r="BC48" s="9">
        <f t="shared" si="88"/>
        <v>0</v>
      </c>
      <c r="BD48" s="9">
        <f>MoF!AS9</f>
        <v>34.985999999999997</v>
      </c>
      <c r="BE48" s="9">
        <v>34.985999999999997</v>
      </c>
      <c r="BF48" s="9">
        <f t="shared" si="89"/>
        <v>0</v>
      </c>
      <c r="BG48" s="10">
        <f t="shared" si="90"/>
        <v>0.10431859364423639</v>
      </c>
      <c r="BH48" s="9">
        <f t="shared" si="91"/>
        <v>0</v>
      </c>
      <c r="BI48" s="9">
        <f t="shared" si="92"/>
        <v>0.98590407682400583</v>
      </c>
      <c r="BJ48" s="9">
        <f t="shared" si="93"/>
        <v>0.98590407682400583</v>
      </c>
      <c r="BO48" s="7" t="s">
        <v>152</v>
      </c>
      <c r="BP48" s="9">
        <f t="shared" si="94"/>
        <v>0</v>
      </c>
      <c r="BQ48" s="9">
        <f>MoF!BC9</f>
        <v>58.128</v>
      </c>
      <c r="BR48" s="9">
        <v>126.71405898148932</v>
      </c>
      <c r="BS48" s="9">
        <f t="shared" si="95"/>
        <v>-68.586058981489316</v>
      </c>
      <c r="BT48" s="10">
        <f t="shared" si="96"/>
        <v>0.10431859364423639</v>
      </c>
      <c r="BU48" s="9">
        <f>AVERAGE(BP48,BS48)*BT48*0</f>
        <v>0</v>
      </c>
      <c r="BV48" s="9">
        <f t="shared" si="98"/>
        <v>0.98590407682400583</v>
      </c>
      <c r="BW48" s="9">
        <f t="shared" si="99"/>
        <v>0.98590407682400583</v>
      </c>
    </row>
    <row r="49" spans="2:75" x14ac:dyDescent="0.35">
      <c r="B49" s="7" t="s">
        <v>154</v>
      </c>
      <c r="C49" s="9">
        <v>82.962125568119404</v>
      </c>
      <c r="D49" s="9">
        <v>-3.8961749428582562E-2</v>
      </c>
      <c r="E49" s="9">
        <f>MoF!E10</f>
        <v>0.61202266999999988</v>
      </c>
      <c r="F49" s="9">
        <f>'Depreciation (Summary)'!C30</f>
        <v>2.1790226297865223</v>
      </c>
      <c r="G49" s="9">
        <f t="shared" si="76"/>
        <v>81.35616385890431</v>
      </c>
      <c r="H49" s="10">
        <v>0.1103029538474376</v>
      </c>
      <c r="I49" s="9">
        <f t="shared" si="73"/>
        <v>9.0623963474794458</v>
      </c>
      <c r="J49" s="9">
        <v>0.57723920810083396</v>
      </c>
      <c r="K49" s="9">
        <f t="shared" si="77"/>
        <v>9.6396355555802806</v>
      </c>
      <c r="O49" s="7" t="s">
        <v>154</v>
      </c>
      <c r="P49" s="9">
        <v>81.35616385890431</v>
      </c>
      <c r="Q49" s="9">
        <v>-1.3911643830884144E-3</v>
      </c>
      <c r="R49" s="9">
        <f>MoF!O10</f>
        <v>5.7291379949999985</v>
      </c>
      <c r="S49" s="9">
        <f>'Depreciation (Summary)'!I30</f>
        <v>3.0982450033116713</v>
      </c>
      <c r="T49" s="9">
        <f t="shared" si="78"/>
        <v>83.985665686209543</v>
      </c>
      <c r="U49" s="10">
        <v>0.10498619880752379</v>
      </c>
      <c r="V49" s="9">
        <f t="shared" si="74"/>
        <v>8.6793050939115162</v>
      </c>
      <c r="W49" s="9">
        <v>1.118959971711903</v>
      </c>
      <c r="X49" s="9">
        <f t="shared" si="79"/>
        <v>9.7982650656234185</v>
      </c>
      <c r="AB49" s="7" t="s">
        <v>154</v>
      </c>
      <c r="AC49" s="9">
        <v>83.985665686209543</v>
      </c>
      <c r="AD49" s="9">
        <v>0</v>
      </c>
      <c r="AE49" s="9">
        <f>MoF!Y10</f>
        <v>0.10795217999999999</v>
      </c>
      <c r="AF49" s="9">
        <v>3.0353716775902746</v>
      </c>
      <c r="AG49" s="9">
        <f t="shared" si="80"/>
        <v>81.058246188619265</v>
      </c>
      <c r="AH49" s="10">
        <v>0.11145557629926758</v>
      </c>
      <c r="AI49" s="9">
        <f t="shared" si="75"/>
        <v>9.1975321563472878</v>
      </c>
      <c r="AJ49" s="9">
        <v>0.99338442147893957</v>
      </c>
      <c r="AK49" s="9">
        <f t="shared" si="81"/>
        <v>10.190916577826227</v>
      </c>
      <c r="AO49" s="7" t="s">
        <v>154</v>
      </c>
      <c r="AP49" s="9">
        <f t="shared" si="82"/>
        <v>81.058246188619265</v>
      </c>
      <c r="AQ49" s="9">
        <f>MoF!AI10</f>
        <v>24.184999999999995</v>
      </c>
      <c r="AR49" s="9">
        <v>7.8895510809059193</v>
      </c>
      <c r="AS49" s="9">
        <f t="shared" si="83"/>
        <v>97.353695107713335</v>
      </c>
      <c r="AT49" s="10">
        <f t="shared" si="84"/>
        <v>0.11145557629926758</v>
      </c>
      <c r="AU49" s="9">
        <f t="shared" si="85"/>
        <v>9.9425028679269243</v>
      </c>
      <c r="AV49" s="9">
        <f t="shared" si="86"/>
        <v>0.99338442147893957</v>
      </c>
      <c r="AW49" s="9">
        <f t="shared" si="87"/>
        <v>10.935887289405864</v>
      </c>
      <c r="BB49" s="7" t="s">
        <v>154</v>
      </c>
      <c r="BC49" s="9">
        <f t="shared" si="88"/>
        <v>97.353695107713335</v>
      </c>
      <c r="BD49" s="9">
        <f>MoF!AS10</f>
        <v>79.828000000000003</v>
      </c>
      <c r="BE49" s="9">
        <v>27.014271577800336</v>
      </c>
      <c r="BF49" s="9">
        <f t="shared" si="89"/>
        <v>150.16742352991298</v>
      </c>
      <c r="BG49" s="10">
        <f t="shared" si="90"/>
        <v>0.11145557629926758</v>
      </c>
      <c r="BH49" s="9">
        <f t="shared" si="91"/>
        <v>13.793804461998013</v>
      </c>
      <c r="BI49" s="9">
        <f t="shared" si="92"/>
        <v>0.99338442147893957</v>
      </c>
      <c r="BJ49" s="9">
        <f t="shared" si="93"/>
        <v>14.787188883476952</v>
      </c>
      <c r="BO49" s="7" t="s">
        <v>154</v>
      </c>
      <c r="BP49" s="9">
        <f t="shared" si="94"/>
        <v>150.16742352991298</v>
      </c>
      <c r="BQ49" s="9">
        <f>MoF!BC10</f>
        <v>17.969000000000001</v>
      </c>
      <c r="BR49" s="9">
        <v>32.305034936578977</v>
      </c>
      <c r="BS49" s="9">
        <f t="shared" si="95"/>
        <v>135.831388593334</v>
      </c>
      <c r="BT49" s="10">
        <f t="shared" si="96"/>
        <v>0.11145557629926758</v>
      </c>
      <c r="BU49" s="9">
        <f t="shared" si="97"/>
        <v>15.938081213051225</v>
      </c>
      <c r="BV49" s="9">
        <f t="shared" si="98"/>
        <v>0.99338442147893957</v>
      </c>
      <c r="BW49" s="9">
        <f t="shared" si="99"/>
        <v>16.931465634530163</v>
      </c>
    </row>
    <row r="50" spans="2:75" x14ac:dyDescent="0.35">
      <c r="B50" s="7" t="s">
        <v>155</v>
      </c>
      <c r="C50" s="9">
        <v>695.68791231503849</v>
      </c>
      <c r="D50" s="9">
        <v>-0.81073042202325851</v>
      </c>
      <c r="E50" s="9">
        <f>MoF!E11</f>
        <v>7.5365908065000005</v>
      </c>
      <c r="F50" s="9">
        <f>'Depreciation (Summary)'!C31</f>
        <v>159.43245614368965</v>
      </c>
      <c r="G50" s="9">
        <f t="shared" si="76"/>
        <v>542.98131655582552</v>
      </c>
      <c r="H50" s="10">
        <v>0.1049896505292381</v>
      </c>
      <c r="I50" s="9">
        <f t="shared" si="73"/>
        <v>65.023724730236438</v>
      </c>
      <c r="J50" s="9">
        <v>0.91266926603335852</v>
      </c>
      <c r="K50" s="9">
        <f t="shared" si="77"/>
        <v>65.9363939962698</v>
      </c>
      <c r="O50" s="7" t="s">
        <v>155</v>
      </c>
      <c r="P50" s="9">
        <v>542.98131655582552</v>
      </c>
      <c r="Q50" s="9">
        <v>0</v>
      </c>
      <c r="R50" s="9">
        <f>MoF!O11</f>
        <v>8.2481961666999997</v>
      </c>
      <c r="S50" s="9">
        <f>'Depreciation (Summary)'!I31</f>
        <v>159.74506931110378</v>
      </c>
      <c r="T50" s="9">
        <f t="shared" si="78"/>
        <v>391.48444341142181</v>
      </c>
      <c r="U50" s="10">
        <v>0.10594224903576434</v>
      </c>
      <c r="V50" s="9">
        <f t="shared" si="74"/>
        <v>49.499702128922451</v>
      </c>
      <c r="W50" s="9">
        <v>0.83518530597611829</v>
      </c>
      <c r="X50" s="9">
        <f t="shared" si="79"/>
        <v>50.334887434898569</v>
      </c>
      <c r="AB50" s="7" t="s">
        <v>155</v>
      </c>
      <c r="AC50" s="9">
        <v>391.48444341142181</v>
      </c>
      <c r="AD50" s="9">
        <v>0</v>
      </c>
      <c r="AE50" s="9">
        <f>MoF!Y11</f>
        <v>18.865686802900001</v>
      </c>
      <c r="AF50" s="9">
        <v>80.63480840184242</v>
      </c>
      <c r="AG50" s="9">
        <f t="shared" si="80"/>
        <v>329.71532181247937</v>
      </c>
      <c r="AH50" s="10">
        <v>9.3441438693874071E-2</v>
      </c>
      <c r="AI50" s="9">
        <f t="shared" si="75"/>
        <v>33.694971824102765</v>
      </c>
      <c r="AJ50" s="9">
        <v>0.77638995432063962</v>
      </c>
      <c r="AK50" s="9">
        <f t="shared" si="81"/>
        <v>34.471361778423407</v>
      </c>
      <c r="AO50" s="7" t="s">
        <v>155</v>
      </c>
      <c r="AP50" s="9">
        <f t="shared" si="82"/>
        <v>329.71532181247937</v>
      </c>
      <c r="AQ50" s="9">
        <f>MoF!AI11</f>
        <v>57.847999999999999</v>
      </c>
      <c r="AR50" s="9">
        <v>86.844740627250999</v>
      </c>
      <c r="AS50" s="9">
        <f t="shared" si="83"/>
        <v>300.7185811852284</v>
      </c>
      <c r="AT50" s="10">
        <f t="shared" si="84"/>
        <v>9.3441438693874071E-2</v>
      </c>
      <c r="AU50" s="9">
        <f t="shared" si="85"/>
        <v>29.45432544875003</v>
      </c>
      <c r="AV50" s="9">
        <f t="shared" si="86"/>
        <v>0.77638995432063962</v>
      </c>
      <c r="AW50" s="9">
        <f t="shared" si="87"/>
        <v>30.230715403070668</v>
      </c>
      <c r="BB50" s="7" t="s">
        <v>155</v>
      </c>
      <c r="BC50" s="9">
        <f t="shared" si="88"/>
        <v>300.7185811852284</v>
      </c>
      <c r="BD50" s="9">
        <f>MoF!AS11</f>
        <v>34.397999999999996</v>
      </c>
      <c r="BE50" s="9">
        <v>79.000524873893085</v>
      </c>
      <c r="BF50" s="9">
        <f t="shared" si="89"/>
        <v>256.11605631133529</v>
      </c>
      <c r="BG50" s="10">
        <f t="shared" si="90"/>
        <v>9.3441438693874071E-2</v>
      </c>
      <c r="BH50" s="9">
        <f t="shared" si="91"/>
        <v>26.015714821130373</v>
      </c>
      <c r="BI50" s="9">
        <f t="shared" si="92"/>
        <v>0.77638995432063962</v>
      </c>
      <c r="BJ50" s="9">
        <f t="shared" si="93"/>
        <v>26.792104775451012</v>
      </c>
      <c r="BO50" s="7" t="s">
        <v>155</v>
      </c>
      <c r="BP50" s="9">
        <f t="shared" si="94"/>
        <v>256.11605631133529</v>
      </c>
      <c r="BQ50" s="9">
        <f>MoF!BC11</f>
        <v>406.12599999999992</v>
      </c>
      <c r="BR50" s="9">
        <v>171.89472403230772</v>
      </c>
      <c r="BS50" s="9">
        <f t="shared" si="95"/>
        <v>490.34733227902746</v>
      </c>
      <c r="BT50" s="10">
        <f t="shared" si="96"/>
        <v>9.3441438693874071E-2</v>
      </c>
      <c r="BU50" s="9">
        <f t="shared" si="97"/>
        <v>34.875306481093936</v>
      </c>
      <c r="BV50" s="9">
        <f t="shared" si="98"/>
        <v>0.77638995432063962</v>
      </c>
      <c r="BW50" s="9">
        <f t="shared" si="99"/>
        <v>35.651696435414578</v>
      </c>
    </row>
    <row r="51" spans="2:75" x14ac:dyDescent="0.35">
      <c r="B51" s="7" t="s">
        <v>156</v>
      </c>
      <c r="C51" s="9">
        <v>447.510986599001</v>
      </c>
      <c r="D51" s="9">
        <v>-0.38577611552316865</v>
      </c>
      <c r="E51" s="9">
        <f>MoF!E12</f>
        <v>37.548447516999993</v>
      </c>
      <c r="F51" s="9">
        <f>'Depreciation (Summary)'!C32</f>
        <v>151.35067362228997</v>
      </c>
      <c r="G51" s="9">
        <f t="shared" si="76"/>
        <v>333.32298437818781</v>
      </c>
      <c r="H51" s="10">
        <v>0.10563955990454335</v>
      </c>
      <c r="I51" s="9">
        <f t="shared" si="73"/>
        <v>41.243478526273599</v>
      </c>
      <c r="J51" s="9">
        <v>0.5508790490333586</v>
      </c>
      <c r="K51" s="9">
        <f t="shared" si="77"/>
        <v>41.794357575306954</v>
      </c>
      <c r="O51" s="7" t="s">
        <v>156</v>
      </c>
      <c r="P51" s="9">
        <v>333.32298437818781</v>
      </c>
      <c r="Q51" s="9">
        <v>0</v>
      </c>
      <c r="R51" s="9">
        <f>MoF!O12</f>
        <v>18.487931844199995</v>
      </c>
      <c r="S51" s="9">
        <f>'Depreciation (Summary)'!I32</f>
        <v>153.80265015336113</v>
      </c>
      <c r="T51" s="9">
        <f t="shared" si="78"/>
        <v>198.00826606902666</v>
      </c>
      <c r="U51" s="10">
        <v>0.10550182179173145</v>
      </c>
      <c r="V51" s="9">
        <f t="shared" si="74"/>
        <v>28.028207448529923</v>
      </c>
      <c r="W51" s="9">
        <v>1.7919930668006991</v>
      </c>
      <c r="X51" s="9">
        <f t="shared" si="79"/>
        <v>29.820200515330622</v>
      </c>
      <c r="AB51" s="7" t="s">
        <v>156</v>
      </c>
      <c r="AC51" s="9">
        <v>198.00826606902666</v>
      </c>
      <c r="AD51" s="9">
        <v>-4.8490991370770065E-2</v>
      </c>
      <c r="AE51" s="9">
        <f>MoF!Y12</f>
        <v>44.375885162699994</v>
      </c>
      <c r="AF51" s="9">
        <v>74.772382081736936</v>
      </c>
      <c r="AG51" s="9">
        <f t="shared" si="80"/>
        <v>167.56327815861894</v>
      </c>
      <c r="AH51" s="10">
        <v>9.2344248120227027E-2</v>
      </c>
      <c r="AI51" s="9">
        <f t="shared" si="75"/>
        <v>16.87921469292613</v>
      </c>
      <c r="AJ51" s="9">
        <v>0.62868953786201598</v>
      </c>
      <c r="AK51" s="9">
        <f t="shared" si="81"/>
        <v>17.507904230788146</v>
      </c>
      <c r="AO51" s="7" t="s">
        <v>156</v>
      </c>
      <c r="AP51" s="9">
        <f t="shared" si="82"/>
        <v>167.56327815861894</v>
      </c>
      <c r="AQ51" s="9">
        <f>MoF!AI12</f>
        <v>26.704999999999998</v>
      </c>
      <c r="AR51" s="9">
        <v>78.321735595841787</v>
      </c>
      <c r="AS51" s="9">
        <f t="shared" si="83"/>
        <v>115.94654256277717</v>
      </c>
      <c r="AT51" s="10">
        <f t="shared" si="84"/>
        <v>9.2344248120227027E-2</v>
      </c>
      <c r="AU51" s="9">
        <f t="shared" si="85"/>
        <v>13.090250614608843</v>
      </c>
      <c r="AV51" s="9">
        <f t="shared" si="86"/>
        <v>0.62868953786201598</v>
      </c>
      <c r="AW51" s="9">
        <f t="shared" si="87"/>
        <v>13.718940152470859</v>
      </c>
      <c r="BB51" s="7" t="s">
        <v>156</v>
      </c>
      <c r="BC51" s="9">
        <f t="shared" si="88"/>
        <v>115.94654256277717</v>
      </c>
      <c r="BD51" s="9">
        <f>MoF!AS12</f>
        <v>19.172999999999998</v>
      </c>
      <c r="BE51" s="9">
        <v>77.195576908045339</v>
      </c>
      <c r="BF51" s="9">
        <f t="shared" si="89"/>
        <v>57.923965654731816</v>
      </c>
      <c r="BG51" s="10">
        <f t="shared" si="90"/>
        <v>9.2344248120227027E-2</v>
      </c>
      <c r="BH51" s="9">
        <f t="shared" si="91"/>
        <v>8.0279706758138101</v>
      </c>
      <c r="BI51" s="9">
        <f t="shared" si="92"/>
        <v>0.62868953786201598</v>
      </c>
      <c r="BJ51" s="9">
        <f t="shared" si="93"/>
        <v>8.6566602136758259</v>
      </c>
      <c r="BO51" s="7" t="s">
        <v>156</v>
      </c>
      <c r="BP51" s="9">
        <f t="shared" si="94"/>
        <v>57.923965654731816</v>
      </c>
      <c r="BQ51" s="9">
        <f>MoF!BC12</f>
        <v>712.58600000000001</v>
      </c>
      <c r="BR51" s="9">
        <v>182.30601986133718</v>
      </c>
      <c r="BS51" s="9">
        <f t="shared" si="95"/>
        <v>588.20394579339461</v>
      </c>
      <c r="BT51" s="10">
        <f t="shared" si="96"/>
        <v>9.2344248120227027E-2</v>
      </c>
      <c r="BU51" s="9">
        <f t="shared" si="97"/>
        <v>29.833098086084931</v>
      </c>
      <c r="BV51" s="9">
        <f t="shared" si="98"/>
        <v>0.62868953786201598</v>
      </c>
      <c r="BW51" s="9">
        <f t="shared" si="99"/>
        <v>30.461787623946947</v>
      </c>
    </row>
    <row r="52" spans="2:75" x14ac:dyDescent="0.35">
      <c r="B52" s="7" t="s">
        <v>8</v>
      </c>
      <c r="C52" s="9">
        <v>1313.7189563535778</v>
      </c>
      <c r="D52" s="9">
        <v>0</v>
      </c>
      <c r="E52" s="9">
        <f>MoF!E13</f>
        <v>3.8860616885999999</v>
      </c>
      <c r="F52" s="9">
        <f>'Depreciation (Summary)'!C33</f>
        <v>175.03329774944305</v>
      </c>
      <c r="G52" s="9">
        <f t="shared" si="76"/>
        <v>1142.5717202927347</v>
      </c>
      <c r="H52" s="10">
        <v>9.4531291500282999E-2</v>
      </c>
      <c r="I52" s="9">
        <f t="shared" si="73"/>
        <v>116.09816498173997</v>
      </c>
      <c r="J52" s="9">
        <v>0.51860806803335846</v>
      </c>
      <c r="K52" s="9">
        <f t="shared" si="77"/>
        <v>116.61677304977333</v>
      </c>
      <c r="O52" s="7" t="s">
        <v>8</v>
      </c>
      <c r="P52" s="9">
        <v>1142.5717202927347</v>
      </c>
      <c r="Q52" s="9">
        <v>-1.6528834889953614</v>
      </c>
      <c r="R52" s="9">
        <f>MoF!O13</f>
        <v>16.193181629799998</v>
      </c>
      <c r="S52" s="9">
        <f>'Depreciation (Summary)'!I33</f>
        <v>177.71788308510924</v>
      </c>
      <c r="T52" s="9">
        <f t="shared" si="78"/>
        <v>979.39413534843015</v>
      </c>
      <c r="U52" s="10">
        <v>9.1769756690841239E-2</v>
      </c>
      <c r="V52" s="9">
        <f t="shared" si="74"/>
        <v>97.366145139231236</v>
      </c>
      <c r="W52" s="9">
        <v>1.5132886089854025</v>
      </c>
      <c r="X52" s="9">
        <f t="shared" si="79"/>
        <v>98.879433748216641</v>
      </c>
      <c r="AB52" s="7" t="s">
        <v>8</v>
      </c>
      <c r="AC52" s="9">
        <f t="shared" ref="AC52:AC60" si="100">T52</f>
        <v>979.39413534843015</v>
      </c>
      <c r="AD52" s="9">
        <v>-1.368543227259025</v>
      </c>
      <c r="AE52" s="9">
        <f>MoF!Y13</f>
        <v>52.857922136852416</v>
      </c>
      <c r="AF52" s="9">
        <v>179.81542982256286</v>
      </c>
      <c r="AG52" s="9">
        <f t="shared" si="80"/>
        <v>851.06808443546061</v>
      </c>
      <c r="AH52" s="10">
        <v>8.0595524262051743E-2</v>
      </c>
      <c r="AI52" s="9">
        <f t="shared" si="75"/>
        <v>73.763531122680831</v>
      </c>
      <c r="AJ52" s="9">
        <v>0.74868446532063959</v>
      </c>
      <c r="AK52" s="9">
        <f t="shared" si="81"/>
        <v>74.512215588001467</v>
      </c>
      <c r="AO52" s="7" t="s">
        <v>8</v>
      </c>
      <c r="AP52" s="9">
        <f t="shared" si="82"/>
        <v>851.06808443546061</v>
      </c>
      <c r="AQ52" s="9">
        <f>MoF!AI13</f>
        <v>15.770999999999999</v>
      </c>
      <c r="AR52" s="9">
        <v>178.41518455086251</v>
      </c>
      <c r="AS52" s="9">
        <f t="shared" si="83"/>
        <v>688.42389988459809</v>
      </c>
      <c r="AT52" s="10">
        <f t="shared" si="84"/>
        <v>8.0595524262051743E-2</v>
      </c>
      <c r="AU52" s="9">
        <f t="shared" si="85"/>
        <v>62.038081786750737</v>
      </c>
      <c r="AV52" s="9">
        <f t="shared" si="86"/>
        <v>0.74868446532063959</v>
      </c>
      <c r="AW52" s="9">
        <f t="shared" si="87"/>
        <v>62.786766252071374</v>
      </c>
      <c r="BB52" s="7" t="s">
        <v>8</v>
      </c>
      <c r="BC52" s="9">
        <f t="shared" si="88"/>
        <v>688.42389988459809</v>
      </c>
      <c r="BD52" s="9">
        <f>MoF!AS13</f>
        <v>239.66599999999997</v>
      </c>
      <c r="BE52" s="9">
        <v>187.9624103813843</v>
      </c>
      <c r="BF52" s="9">
        <f t="shared" si="89"/>
        <v>740.12748950321372</v>
      </c>
      <c r="BG52" s="10">
        <f t="shared" si="90"/>
        <v>8.0595524262051743E-2</v>
      </c>
      <c r="BH52" s="9">
        <f t="shared" si="91"/>
        <v>57.567424081496561</v>
      </c>
      <c r="BI52" s="9">
        <f t="shared" si="92"/>
        <v>0.74868446532063959</v>
      </c>
      <c r="BJ52" s="9">
        <f t="shared" si="93"/>
        <v>58.316108546817198</v>
      </c>
      <c r="BO52" s="7" t="s">
        <v>8</v>
      </c>
      <c r="BP52" s="9">
        <f t="shared" si="94"/>
        <v>740.12748950321372</v>
      </c>
      <c r="BQ52" s="9">
        <f>MoF!BC13</f>
        <v>298.053</v>
      </c>
      <c r="BR52" s="9">
        <v>206.85257310819668</v>
      </c>
      <c r="BS52" s="9">
        <f t="shared" si="95"/>
        <v>831.32791639501704</v>
      </c>
      <c r="BT52" s="10">
        <f t="shared" si="96"/>
        <v>8.0595524262051743E-2</v>
      </c>
      <c r="BU52" s="9">
        <f t="shared" si="97"/>
        <v>63.326136146401616</v>
      </c>
      <c r="BV52" s="9">
        <f t="shared" si="98"/>
        <v>0.74868446532063959</v>
      </c>
      <c r="BW52" s="9">
        <f t="shared" si="99"/>
        <v>64.074820611722259</v>
      </c>
    </row>
    <row r="53" spans="2:75" x14ac:dyDescent="0.35">
      <c r="B53" s="7" t="s">
        <v>157</v>
      </c>
      <c r="C53" s="9">
        <v>2954.3858949015357</v>
      </c>
      <c r="D53" s="9">
        <v>-2.3718799202554059</v>
      </c>
      <c r="E53" s="9">
        <f>MoF!E14</f>
        <v>91.721156613099978</v>
      </c>
      <c r="F53" s="9">
        <f>'Depreciation (Summary)'!C34</f>
        <v>337.47722969256915</v>
      </c>
      <c r="G53" s="9">
        <f t="shared" si="76"/>
        <v>2706.2579419018111</v>
      </c>
      <c r="H53" s="10">
        <v>0.10440610348375437</v>
      </c>
      <c r="I53" s="9">
        <f t="shared" si="73"/>
        <v>295.50288310498331</v>
      </c>
      <c r="J53" s="9">
        <v>0.63941100103335846</v>
      </c>
      <c r="K53" s="9">
        <f t="shared" si="77"/>
        <v>296.14229410601666</v>
      </c>
      <c r="O53" s="7" t="s">
        <v>157</v>
      </c>
      <c r="P53" s="9">
        <v>2706.2579419018111</v>
      </c>
      <c r="Q53" s="9">
        <v>0</v>
      </c>
      <c r="R53" s="9">
        <f>MoF!O14</f>
        <v>1.8661280063999999</v>
      </c>
      <c r="S53" s="9">
        <f>'Depreciation (Summary)'!I34</f>
        <v>340.26793013842547</v>
      </c>
      <c r="T53" s="9">
        <f t="shared" si="78"/>
        <v>2367.8561397697854</v>
      </c>
      <c r="U53" s="10">
        <v>0.10491534110348838</v>
      </c>
      <c r="V53" s="9">
        <f t="shared" si="74"/>
        <v>266.17620483829461</v>
      </c>
      <c r="W53" s="9">
        <v>1.3838090489854025</v>
      </c>
      <c r="X53" s="9">
        <f t="shared" si="79"/>
        <v>267.56001388728004</v>
      </c>
      <c r="AB53" s="7" t="s">
        <v>157</v>
      </c>
      <c r="AC53" s="9">
        <f t="shared" si="100"/>
        <v>2367.8561397697854</v>
      </c>
      <c r="AD53" s="9">
        <v>-1.339606154032783</v>
      </c>
      <c r="AE53" s="9">
        <f>MoF!Y14</f>
        <v>26.747783896400001</v>
      </c>
      <c r="AF53" s="9">
        <v>341.69712591190728</v>
      </c>
      <c r="AG53" s="9">
        <f t="shared" si="80"/>
        <v>2051.5671916002452</v>
      </c>
      <c r="AH53" s="10">
        <v>0.10431028216235365</v>
      </c>
      <c r="AI53" s="9">
        <f t="shared" si="75"/>
        <v>230.49564734504841</v>
      </c>
      <c r="AJ53" s="9">
        <v>0.77669376032063964</v>
      </c>
      <c r="AK53" s="9">
        <f t="shared" si="81"/>
        <v>231.27234110536904</v>
      </c>
      <c r="AO53" s="7" t="s">
        <v>157</v>
      </c>
      <c r="AP53" s="9">
        <f t="shared" si="82"/>
        <v>2051.5671916002452</v>
      </c>
      <c r="AQ53" s="9">
        <f>MoF!AI14</f>
        <v>13.034000000000001</v>
      </c>
      <c r="AR53" s="9">
        <v>342.86140690960133</v>
      </c>
      <c r="AS53" s="9">
        <f t="shared" si="83"/>
        <v>1721.739784690644</v>
      </c>
      <c r="AT53" s="10">
        <f t="shared" si="84"/>
        <v>0.10431028216235365</v>
      </c>
      <c r="AU53" s="9">
        <f t="shared" si="85"/>
        <v>196.79735769104005</v>
      </c>
      <c r="AV53" s="9">
        <f t="shared" si="86"/>
        <v>0.77669376032063964</v>
      </c>
      <c r="AW53" s="9">
        <f t="shared" si="87"/>
        <v>197.57405145136067</v>
      </c>
      <c r="BB53" s="7" t="s">
        <v>157</v>
      </c>
      <c r="BC53" s="9">
        <f t="shared" si="88"/>
        <v>1721.739784690644</v>
      </c>
      <c r="BD53" s="9">
        <f>MoF!AS14</f>
        <v>49.790999999999997</v>
      </c>
      <c r="BE53" s="9">
        <v>345.23080690960126</v>
      </c>
      <c r="BF53" s="9">
        <f t="shared" si="89"/>
        <v>1426.2999777810428</v>
      </c>
      <c r="BG53" s="10">
        <f t="shared" si="90"/>
        <v>0.10431028216235365</v>
      </c>
      <c r="BH53" s="9">
        <f t="shared" si="91"/>
        <v>164.18645794086521</v>
      </c>
      <c r="BI53" s="9">
        <f t="shared" si="92"/>
        <v>0.77669376032063964</v>
      </c>
      <c r="BJ53" s="9">
        <f t="shared" si="93"/>
        <v>164.96315170118584</v>
      </c>
      <c r="BO53" s="7" t="s">
        <v>157</v>
      </c>
      <c r="BP53" s="9">
        <f t="shared" si="94"/>
        <v>1426.2999777810428</v>
      </c>
      <c r="BQ53" s="9">
        <f>MoF!BC14</f>
        <v>740.70500000000004</v>
      </c>
      <c r="BR53" s="9">
        <v>375.04379890960126</v>
      </c>
      <c r="BS53" s="9">
        <f t="shared" si="95"/>
        <v>1791.9611788714415</v>
      </c>
      <c r="BT53" s="10">
        <f t="shared" si="96"/>
        <v>0.10431028216235365</v>
      </c>
      <c r="BU53" s="9">
        <f t="shared" si="97"/>
        <v>167.84886466128162</v>
      </c>
      <c r="BV53" s="9">
        <f t="shared" si="98"/>
        <v>0.77669376032063964</v>
      </c>
      <c r="BW53" s="9">
        <f t="shared" si="99"/>
        <v>168.62555842160225</v>
      </c>
    </row>
    <row r="54" spans="2:75" x14ac:dyDescent="0.35">
      <c r="B54" s="7" t="s">
        <v>158</v>
      </c>
      <c r="C54" s="9">
        <v>7967.6170724631083</v>
      </c>
      <c r="D54" s="9">
        <v>0</v>
      </c>
      <c r="E54" s="9">
        <f>MoF!E15</f>
        <v>150.49351274509999</v>
      </c>
      <c r="F54" s="9">
        <f>'Depreciation (Summary)'!C35</f>
        <v>660.45722806746414</v>
      </c>
      <c r="G54" s="9">
        <f t="shared" si="76"/>
        <v>7457.6533571407444</v>
      </c>
      <c r="H54" s="10">
        <v>9.8968046262608744E-2</v>
      </c>
      <c r="I54" s="9">
        <f t="shared" si="73"/>
        <v>763.30443874514242</v>
      </c>
      <c r="J54" s="9">
        <v>2.1339220921721003</v>
      </c>
      <c r="K54" s="9">
        <f t="shared" si="77"/>
        <v>765.43836083731458</v>
      </c>
      <c r="O54" s="7" t="s">
        <v>158</v>
      </c>
      <c r="P54" s="9">
        <f t="shared" ref="P54:P60" si="101">G54</f>
        <v>7457.6533571407444</v>
      </c>
      <c r="Q54" s="9">
        <v>0</v>
      </c>
      <c r="R54" s="9">
        <f>MoF!O15</f>
        <v>146.34340802164999</v>
      </c>
      <c r="S54" s="9">
        <f>'Depreciation (Summary)'!I35</f>
        <v>670.54625511240852</v>
      </c>
      <c r="T54" s="9">
        <f t="shared" si="78"/>
        <v>6933.4505100499864</v>
      </c>
      <c r="U54" s="10">
        <v>0.10500928616278733</v>
      </c>
      <c r="V54" s="9">
        <f t="shared" si="74"/>
        <v>755.5997720941134</v>
      </c>
      <c r="W54" s="9">
        <v>4.0969040357971265</v>
      </c>
      <c r="X54" s="9">
        <f t="shared" si="79"/>
        <v>759.69667612991054</v>
      </c>
      <c r="AB54" s="7" t="s">
        <v>158</v>
      </c>
      <c r="AC54" s="9">
        <f t="shared" si="100"/>
        <v>6933.4505100499864</v>
      </c>
      <c r="AD54" s="9">
        <v>0</v>
      </c>
      <c r="AE54" s="9">
        <f>MoF!Y15</f>
        <v>171.63423706659998</v>
      </c>
      <c r="AF54" s="9">
        <v>681.62931525576539</v>
      </c>
      <c r="AG54" s="9">
        <f t="shared" si="80"/>
        <v>6423.4554318608207</v>
      </c>
      <c r="AH54" s="10">
        <v>9.9705898295999434E-2</v>
      </c>
      <c r="AI54" s="9">
        <f t="shared" si="75"/>
        <v>665.8811526966947</v>
      </c>
      <c r="AJ54" s="9">
        <v>3.3157633865897327</v>
      </c>
      <c r="AK54" s="9">
        <f t="shared" si="81"/>
        <v>669.19691608328446</v>
      </c>
      <c r="AO54" s="7" t="s">
        <v>158</v>
      </c>
      <c r="AP54" s="9">
        <f t="shared" si="82"/>
        <v>6423.4554318608207</v>
      </c>
      <c r="AQ54" s="9">
        <f>MoF!AI15</f>
        <v>245.00699999999998</v>
      </c>
      <c r="AR54" s="9">
        <v>697.22860018105825</v>
      </c>
      <c r="AS54" s="9">
        <f t="shared" si="83"/>
        <v>5971.2338316797623</v>
      </c>
      <c r="AT54" s="10">
        <f t="shared" si="84"/>
        <v>9.9705898295999434E-2</v>
      </c>
      <c r="AU54" s="9">
        <f t="shared" si="85"/>
        <v>617.91181356054665</v>
      </c>
      <c r="AV54" s="9">
        <f t="shared" si="86"/>
        <v>3.3157633865897327</v>
      </c>
      <c r="AW54" s="9">
        <f t="shared" si="87"/>
        <v>621.22757694713641</v>
      </c>
      <c r="BB54" s="7" t="s">
        <v>158</v>
      </c>
      <c r="BC54" s="9">
        <f t="shared" si="88"/>
        <v>5971.2338316797623</v>
      </c>
      <c r="BD54" s="9">
        <f>MoF!AS15</f>
        <v>124.12399999999998</v>
      </c>
      <c r="BE54" s="9">
        <v>711.07873889245832</v>
      </c>
      <c r="BF54" s="9">
        <f t="shared" si="89"/>
        <v>5384.2790927873039</v>
      </c>
      <c r="BG54" s="10">
        <f t="shared" si="90"/>
        <v>9.9705898295999434E-2</v>
      </c>
      <c r="BH54" s="9">
        <f t="shared" si="91"/>
        <v>566.10580837291025</v>
      </c>
      <c r="BI54" s="9">
        <f t="shared" si="92"/>
        <v>3.3157633865897327</v>
      </c>
      <c r="BJ54" s="9">
        <f t="shared" si="93"/>
        <v>569.42157175950001</v>
      </c>
      <c r="BO54" s="7" t="s">
        <v>158</v>
      </c>
      <c r="BP54" s="9">
        <f t="shared" si="94"/>
        <v>5384.2790927873039</v>
      </c>
      <c r="BQ54" s="9">
        <f>MoF!BC15</f>
        <v>1477.0909999999999</v>
      </c>
      <c r="BR54" s="9">
        <v>771.46741889245834</v>
      </c>
      <c r="BS54" s="9">
        <f t="shared" si="95"/>
        <v>6089.9026738948451</v>
      </c>
      <c r="BT54" s="10">
        <f t="shared" si="96"/>
        <v>9.9705898295999434E-2</v>
      </c>
      <c r="BU54" s="9">
        <f t="shared" si="97"/>
        <v>572.02180012931069</v>
      </c>
      <c r="BV54" s="9">
        <f t="shared" si="98"/>
        <v>3.3157633865897327</v>
      </c>
      <c r="BW54" s="9">
        <f t="shared" si="99"/>
        <v>575.33756351590046</v>
      </c>
    </row>
    <row r="55" spans="2:75" x14ac:dyDescent="0.35">
      <c r="B55" s="7" t="s">
        <v>159</v>
      </c>
      <c r="C55" s="9">
        <v>4065.93</v>
      </c>
      <c r="D55" s="9">
        <v>0</v>
      </c>
      <c r="E55" s="9">
        <f>MoF!E16</f>
        <v>5.0116904515999989</v>
      </c>
      <c r="F55" s="9">
        <f>'Depreciation (Summary)'!C36</f>
        <v>316.94030329958622</v>
      </c>
      <c r="G55" s="9">
        <f t="shared" si="76"/>
        <v>3754.0013871520136</v>
      </c>
      <c r="H55" s="10">
        <v>9.8495899999999997E-2</v>
      </c>
      <c r="I55" s="9">
        <f t="shared" si="73"/>
        <v>385.11558995789301</v>
      </c>
      <c r="J55" s="9">
        <v>1.195702235066717</v>
      </c>
      <c r="K55" s="9">
        <f t="shared" si="77"/>
        <v>386.31129219295974</v>
      </c>
      <c r="O55" s="7" t="s">
        <v>159</v>
      </c>
      <c r="P55" s="9">
        <f t="shared" si="101"/>
        <v>3754.0013871520136</v>
      </c>
      <c r="Q55" s="9">
        <v>0</v>
      </c>
      <c r="R55" s="9">
        <f>MoF!O16</f>
        <v>49.52486620269999</v>
      </c>
      <c r="S55" s="9">
        <f>'Depreciation (Summary)'!I36</f>
        <v>318.7770858993398</v>
      </c>
      <c r="T55" s="9">
        <f t="shared" si="78"/>
        <v>3484.7491674553739</v>
      </c>
      <c r="U55" s="10">
        <v>0.10689665318949208</v>
      </c>
      <c r="V55" s="9">
        <f t="shared" si="74"/>
        <v>386.8991037805547</v>
      </c>
      <c r="W55" s="9">
        <v>2.7806292029708048</v>
      </c>
      <c r="X55" s="9">
        <f t="shared" si="79"/>
        <v>389.67973298352553</v>
      </c>
      <c r="AB55" s="7" t="s">
        <v>159</v>
      </c>
      <c r="AC55" s="9">
        <f t="shared" si="100"/>
        <v>3484.7491674553739</v>
      </c>
      <c r="AD55" s="9">
        <v>0</v>
      </c>
      <c r="AE55" s="9">
        <f>MoF!Y16</f>
        <v>158.21304051139998</v>
      </c>
      <c r="AF55" s="9">
        <v>326.35075934230599</v>
      </c>
      <c r="AG55" s="9">
        <f t="shared" si="80"/>
        <v>3316.6114486244678</v>
      </c>
      <c r="AH55" s="10">
        <v>0.10150000000000001</v>
      </c>
      <c r="AI55" s="9">
        <f t="shared" si="75"/>
        <v>345.16905126605201</v>
      </c>
      <c r="AJ55" s="9">
        <v>1.5678004116412791</v>
      </c>
      <c r="AK55" s="9">
        <f t="shared" si="81"/>
        <v>346.73685167769327</v>
      </c>
      <c r="AO55" s="7" t="s">
        <v>159</v>
      </c>
      <c r="AP55" s="9">
        <f t="shared" si="82"/>
        <v>3316.6114486244678</v>
      </c>
      <c r="AQ55" s="9">
        <f>MoF!AI16</f>
        <v>110.89399999999999</v>
      </c>
      <c r="AR55" s="9">
        <v>336.45895051112183</v>
      </c>
      <c r="AS55" s="9">
        <f t="shared" si="83"/>
        <v>3091.0464981133459</v>
      </c>
      <c r="AT55" s="10">
        <f t="shared" si="84"/>
        <v>0.10150000000000001</v>
      </c>
      <c r="AU55" s="9">
        <f t="shared" si="85"/>
        <v>325.18864079694407</v>
      </c>
      <c r="AV55" s="9">
        <f t="shared" si="86"/>
        <v>1.5678004116412791</v>
      </c>
      <c r="AW55" s="9">
        <f t="shared" si="87"/>
        <v>326.75644120858533</v>
      </c>
      <c r="BB55" s="7" t="s">
        <v>159</v>
      </c>
      <c r="BC55" s="9">
        <f t="shared" si="88"/>
        <v>3091.0464981133459</v>
      </c>
      <c r="BD55" s="9">
        <f>MoF!AS16</f>
        <v>226.92599999999999</v>
      </c>
      <c r="BE55" s="9">
        <v>349.19959051112187</v>
      </c>
      <c r="BF55" s="9">
        <f t="shared" si="89"/>
        <v>2968.7729076022242</v>
      </c>
      <c r="BG55" s="10">
        <f t="shared" si="90"/>
        <v>0.10150000000000001</v>
      </c>
      <c r="BH55" s="9">
        <f t="shared" si="91"/>
        <v>307.53583484006521</v>
      </c>
      <c r="BI55" s="9">
        <f t="shared" si="92"/>
        <v>1.5678004116412791</v>
      </c>
      <c r="BJ55" s="9">
        <f t="shared" si="93"/>
        <v>309.10363525170646</v>
      </c>
      <c r="BO55" s="7" t="s">
        <v>159</v>
      </c>
      <c r="BP55" s="9">
        <f t="shared" si="94"/>
        <v>2968.7729076022242</v>
      </c>
      <c r="BQ55" s="9">
        <f>MoF!BC16</f>
        <v>240.261</v>
      </c>
      <c r="BR55" s="9">
        <v>366.81921451112186</v>
      </c>
      <c r="BS55" s="9">
        <f t="shared" si="95"/>
        <v>2842.2146930911022</v>
      </c>
      <c r="BT55" s="10">
        <f t="shared" si="96"/>
        <v>0.10150000000000001</v>
      </c>
      <c r="BU55" s="9">
        <f t="shared" si="97"/>
        <v>294.90762073518636</v>
      </c>
      <c r="BV55" s="9">
        <f t="shared" si="98"/>
        <v>1.5678004116412791</v>
      </c>
      <c r="BW55" s="9">
        <f t="shared" si="99"/>
        <v>296.47542114682761</v>
      </c>
    </row>
    <row r="56" spans="2:75" x14ac:dyDescent="0.35">
      <c r="B56" s="7" t="s">
        <v>160</v>
      </c>
      <c r="C56" s="9">
        <v>1233.1099999999999</v>
      </c>
      <c r="D56" s="9">
        <v>0</v>
      </c>
      <c r="E56" s="9">
        <f>MoF!E17</f>
        <v>5.7348343808000015</v>
      </c>
      <c r="F56" s="9">
        <f>'Depreciation (Summary)'!C37</f>
        <v>92.192808680326408</v>
      </c>
      <c r="G56" s="9">
        <f t="shared" si="76"/>
        <v>1146.6520257004736</v>
      </c>
      <c r="H56" s="10">
        <v>0.10373363337416727</v>
      </c>
      <c r="I56" s="9">
        <f t="shared" si="73"/>
        <v>123.43068074588929</v>
      </c>
      <c r="J56" s="9">
        <v>0.23637979651667929</v>
      </c>
      <c r="K56" s="9">
        <f t="shared" si="77"/>
        <v>123.66706054240596</v>
      </c>
      <c r="O56" s="7" t="s">
        <v>160</v>
      </c>
      <c r="P56" s="9">
        <f t="shared" si="101"/>
        <v>1146.6520257004736</v>
      </c>
      <c r="Q56" s="9">
        <v>0</v>
      </c>
      <c r="R56" s="9">
        <f>MoF!O17</f>
        <v>9.6607044834999982</v>
      </c>
      <c r="S56" s="9">
        <f>'Depreciation (Summary)'!I37</f>
        <v>92.677694478308126</v>
      </c>
      <c r="T56" s="9">
        <f t="shared" si="78"/>
        <v>1063.6350357056654</v>
      </c>
      <c r="U56" s="10">
        <v>0.11051628470140584</v>
      </c>
      <c r="V56" s="9">
        <f t="shared" si="74"/>
        <v>122.13635707509728</v>
      </c>
      <c r="W56" s="9">
        <v>1.1465754571485371</v>
      </c>
      <c r="X56" s="9">
        <f t="shared" si="79"/>
        <v>123.28293253224582</v>
      </c>
      <c r="AB56" s="7" t="s">
        <v>160</v>
      </c>
      <c r="AC56" s="9">
        <f t="shared" si="100"/>
        <v>1063.6350357056654</v>
      </c>
      <c r="AD56" s="9">
        <v>0</v>
      </c>
      <c r="AE56" s="9">
        <f>MoF!Y17</f>
        <v>17.818726158800001</v>
      </c>
      <c r="AF56" s="9">
        <v>93.626409461481558</v>
      </c>
      <c r="AG56" s="9">
        <f t="shared" si="80"/>
        <v>987.82735240298382</v>
      </c>
      <c r="AH56" s="10">
        <v>0.10671074094948595</v>
      </c>
      <c r="AI56" s="9">
        <f t="shared" si="75"/>
        <v>109.45653573253793</v>
      </c>
      <c r="AJ56" s="9">
        <v>0.42725292366031975</v>
      </c>
      <c r="AK56" s="9">
        <f t="shared" si="81"/>
        <v>109.88378865619825</v>
      </c>
      <c r="AO56" s="7" t="s">
        <v>160</v>
      </c>
      <c r="AP56" s="9">
        <f t="shared" si="82"/>
        <v>987.82735240298382</v>
      </c>
      <c r="AQ56" s="9">
        <f>MoF!AI17</f>
        <v>72.575999999999993</v>
      </c>
      <c r="AR56" s="9">
        <v>97.022385822096808</v>
      </c>
      <c r="AS56" s="9">
        <f t="shared" si="83"/>
        <v>963.38096658088693</v>
      </c>
      <c r="AT56" s="10">
        <f t="shared" si="84"/>
        <v>0.10671074094948595</v>
      </c>
      <c r="AU56" s="9">
        <f t="shared" si="85"/>
        <v>104.10744273278489</v>
      </c>
      <c r="AV56" s="9">
        <f t="shared" si="86"/>
        <v>0.42725292366031975</v>
      </c>
      <c r="AW56" s="9">
        <f t="shared" si="87"/>
        <v>104.53469565644521</v>
      </c>
      <c r="BB56" s="7" t="s">
        <v>160</v>
      </c>
      <c r="BC56" s="9">
        <f t="shared" si="88"/>
        <v>963.38096658088693</v>
      </c>
      <c r="BD56" s="9">
        <f>MoF!AS17</f>
        <v>5.2989999999999995</v>
      </c>
      <c r="BE56" s="9">
        <v>99.95938582209682</v>
      </c>
      <c r="BF56" s="9">
        <f t="shared" si="89"/>
        <v>868.72058075879011</v>
      </c>
      <c r="BG56" s="10">
        <f t="shared" si="90"/>
        <v>0.10671074094948595</v>
      </c>
      <c r="BH56" s="9">
        <f t="shared" si="91"/>
        <v>97.752456805658312</v>
      </c>
      <c r="BI56" s="9">
        <f t="shared" si="92"/>
        <v>0.42725292366031975</v>
      </c>
      <c r="BJ56" s="9">
        <f t="shared" si="93"/>
        <v>98.179709729318631</v>
      </c>
      <c r="BO56" s="7" t="s">
        <v>160</v>
      </c>
      <c r="BP56" s="9">
        <f t="shared" si="94"/>
        <v>868.72058075879011</v>
      </c>
      <c r="BQ56" s="9">
        <f>MoF!BC17</f>
        <v>155.67299999999997</v>
      </c>
      <c r="BR56" s="9">
        <v>106.03032982209682</v>
      </c>
      <c r="BS56" s="9">
        <f t="shared" si="95"/>
        <v>918.36325093669313</v>
      </c>
      <c r="BT56" s="10">
        <f t="shared" si="96"/>
        <v>0.10671074094948595</v>
      </c>
      <c r="BU56" s="9">
        <f t="shared" si="97"/>
        <v>95.350519909535734</v>
      </c>
      <c r="BV56" s="9">
        <f t="shared" si="98"/>
        <v>0.42725292366031975</v>
      </c>
      <c r="BW56" s="9">
        <f t="shared" si="99"/>
        <v>95.777772833196053</v>
      </c>
    </row>
    <row r="57" spans="2:75" x14ac:dyDescent="0.35">
      <c r="B57" s="7" t="s">
        <v>186</v>
      </c>
      <c r="C57" s="9">
        <v>31.580068287873289</v>
      </c>
      <c r="D57" s="9">
        <v>-0.06</v>
      </c>
      <c r="E57" s="9">
        <f>MoF!E18</f>
        <v>5.4970297199999996</v>
      </c>
      <c r="F57" s="9">
        <v>29.214868053644629</v>
      </c>
      <c r="G57" s="9">
        <f t="shared" si="76"/>
        <v>7.8022299542286575</v>
      </c>
      <c r="H57" s="10">
        <v>0.10216929990185568</v>
      </c>
      <c r="I57" s="9">
        <f t="shared" si="73"/>
        <v>2.0118309199608189</v>
      </c>
      <c r="J57" s="9">
        <v>1.1500986000000001E-2</v>
      </c>
      <c r="K57" s="9">
        <f t="shared" ref="K57:K60" si="102">SUM(I57:J57)</f>
        <v>2.023331905960819</v>
      </c>
      <c r="O57" s="7" t="s">
        <v>186</v>
      </c>
      <c r="P57" s="9">
        <f t="shared" si="101"/>
        <v>7.8022299542286575</v>
      </c>
      <c r="Q57" s="9">
        <v>0</v>
      </c>
      <c r="R57" s="9">
        <f>MoF!O18</f>
        <v>7.5086653599999993</v>
      </c>
      <c r="S57" s="9">
        <v>15.310895314228656</v>
      </c>
      <c r="T57" s="9">
        <f t="shared" si="78"/>
        <v>0</v>
      </c>
      <c r="U57" s="10">
        <v>0.10670892206252482</v>
      </c>
      <c r="V57" s="9">
        <f t="shared" si="74"/>
        <v>0.41628377404984118</v>
      </c>
      <c r="W57" s="9">
        <v>1.3858729999999999E-3</v>
      </c>
      <c r="X57" s="9">
        <f t="shared" ref="X57:X60" si="103">SUM(V57:W57)</f>
        <v>0.41766964704984116</v>
      </c>
      <c r="AB57" s="7" t="s">
        <v>186</v>
      </c>
      <c r="AC57" s="9">
        <f t="shared" si="100"/>
        <v>0</v>
      </c>
      <c r="AD57" s="9">
        <v>0</v>
      </c>
      <c r="AE57" s="9">
        <f>MoF!Y18</f>
        <v>4.400565661099999</v>
      </c>
      <c r="AF57" s="9">
        <v>4.400565661099999</v>
      </c>
      <c r="AG57" s="9">
        <f t="shared" si="80"/>
        <v>0</v>
      </c>
      <c r="AH57" s="10">
        <v>0.10385509564399183</v>
      </c>
      <c r="AI57" s="9">
        <f t="shared" si="75"/>
        <v>0</v>
      </c>
      <c r="AJ57" s="9">
        <v>1.0564425000000001E-2</v>
      </c>
      <c r="AK57" s="9">
        <f t="shared" si="81"/>
        <v>1.0564425000000001E-2</v>
      </c>
      <c r="AO57" s="7" t="s">
        <v>186</v>
      </c>
      <c r="AP57" s="9">
        <f t="shared" si="82"/>
        <v>0</v>
      </c>
      <c r="AQ57" s="9">
        <f>MoF!AI18</f>
        <v>26.565000000000001</v>
      </c>
      <c r="AR57" s="9">
        <v>7.2273487763462994</v>
      </c>
      <c r="AS57" s="9">
        <f t="shared" si="83"/>
        <v>19.337651223653701</v>
      </c>
      <c r="AT57" s="10">
        <f t="shared" si="84"/>
        <v>0.10385509564399183</v>
      </c>
      <c r="AU57" s="9">
        <f t="shared" si="85"/>
        <v>1.0041568086813553</v>
      </c>
      <c r="AV57" s="9">
        <f t="shared" si="86"/>
        <v>1.0564425000000001E-2</v>
      </c>
      <c r="AW57" s="9">
        <f t="shared" si="87"/>
        <v>1.0147212336813554</v>
      </c>
      <c r="BB57" s="7" t="s">
        <v>186</v>
      </c>
      <c r="BC57" s="9">
        <f t="shared" si="88"/>
        <v>19.337651223653701</v>
      </c>
      <c r="BD57" s="9">
        <f>MoF!AS18</f>
        <v>24.457999999999998</v>
      </c>
      <c r="BE57" s="9">
        <v>9.1516447763462985</v>
      </c>
      <c r="BF57" s="9">
        <f t="shared" si="89"/>
        <v>34.644006447307405</v>
      </c>
      <c r="BG57" s="10">
        <f t="shared" si="90"/>
        <v>0.10385509564399183</v>
      </c>
      <c r="BH57" s="9">
        <f t="shared" si="91"/>
        <v>2.8031351102194453</v>
      </c>
      <c r="BI57" s="9">
        <f t="shared" si="92"/>
        <v>1.0564425000000001E-2</v>
      </c>
      <c r="BJ57" s="9">
        <f t="shared" si="93"/>
        <v>2.8136995352194454</v>
      </c>
      <c r="BO57" s="7" t="s">
        <v>186</v>
      </c>
      <c r="BP57" s="9">
        <f t="shared" si="94"/>
        <v>34.644006447307405</v>
      </c>
      <c r="BQ57" s="9">
        <f>MoF!BC18</f>
        <v>76.72699999999999</v>
      </c>
      <c r="BR57" s="9">
        <v>12.9677647763463</v>
      </c>
      <c r="BS57" s="9">
        <f t="shared" si="95"/>
        <v>98.403241670961094</v>
      </c>
      <c r="BT57" s="10">
        <f t="shared" si="96"/>
        <v>0.10385509564399183</v>
      </c>
      <c r="BU57" s="9">
        <f t="shared" si="97"/>
        <v>6.908817339246343</v>
      </c>
      <c r="BV57" s="9">
        <f t="shared" si="98"/>
        <v>1.0564425000000001E-2</v>
      </c>
      <c r="BW57" s="9">
        <f t="shared" si="99"/>
        <v>6.9193817642463431</v>
      </c>
    </row>
    <row r="58" spans="2:75" x14ac:dyDescent="0.35">
      <c r="B58" s="7" t="s">
        <v>187</v>
      </c>
      <c r="C58" s="9">
        <v>0.38527227953299764</v>
      </c>
      <c r="D58" s="9">
        <v>0</v>
      </c>
      <c r="E58" s="9">
        <f>MoF!E19</f>
        <v>2.6106460099999996E-2</v>
      </c>
      <c r="F58" s="9">
        <v>1.2589337199260309E-2</v>
      </c>
      <c r="G58" s="9">
        <f t="shared" si="76"/>
        <v>0.39878940243373734</v>
      </c>
      <c r="H58" s="10">
        <v>0.1</v>
      </c>
      <c r="I58" s="9">
        <f t="shared" si="73"/>
        <v>3.9203084098336755E-2</v>
      </c>
      <c r="J58" s="9">
        <v>1.1487000000000002E-4</v>
      </c>
      <c r="K58" s="9">
        <f t="shared" si="102"/>
        <v>3.9317954098336758E-2</v>
      </c>
      <c r="O58" s="7" t="s">
        <v>187</v>
      </c>
      <c r="P58" s="9">
        <f t="shared" si="101"/>
        <v>0.39878940243373734</v>
      </c>
      <c r="Q58" s="9">
        <v>0</v>
      </c>
      <c r="R58" s="9">
        <f>MoF!O19</f>
        <v>0.63828416049999992</v>
      </c>
      <c r="S58" s="9">
        <v>4.3145375123733225E-2</v>
      </c>
      <c r="T58" s="9">
        <f t="shared" si="78"/>
        <v>0.99392818781000414</v>
      </c>
      <c r="U58" s="10">
        <v>0.1</v>
      </c>
      <c r="V58" s="9">
        <f t="shared" si="74"/>
        <v>6.9635879512187068E-2</v>
      </c>
      <c r="W58" s="9">
        <v>0</v>
      </c>
      <c r="X58" s="9">
        <f t="shared" si="103"/>
        <v>6.9635879512187068E-2</v>
      </c>
      <c r="AB58" s="7" t="s">
        <v>187</v>
      </c>
      <c r="AC58" s="9">
        <f t="shared" si="100"/>
        <v>0.99392818781000414</v>
      </c>
      <c r="AD58" s="9">
        <v>0</v>
      </c>
      <c r="AE58" s="9">
        <f>MoF!Y19</f>
        <v>0.1773229003</v>
      </c>
      <c r="AF58" s="9">
        <v>9.2671730943783254E-2</v>
      </c>
      <c r="AG58" s="9">
        <f t="shared" si="80"/>
        <v>1.078579357166221</v>
      </c>
      <c r="AH58" s="10">
        <v>0.1</v>
      </c>
      <c r="AI58" s="9">
        <f t="shared" si="75"/>
        <v>0.10362537724881125</v>
      </c>
      <c r="AJ58" s="9">
        <v>3.6106799999999998E-4</v>
      </c>
      <c r="AK58" s="9">
        <f t="shared" si="81"/>
        <v>0.10398644524881126</v>
      </c>
      <c r="AO58" s="7" t="s">
        <v>187</v>
      </c>
      <c r="AP58" s="9">
        <f t="shared" si="82"/>
        <v>1.078579357166221</v>
      </c>
      <c r="AQ58" s="9">
        <f>MoF!AI19</f>
        <v>1.337</v>
      </c>
      <c r="AR58" s="9">
        <v>0.19164893600215593</v>
      </c>
      <c r="AS58" s="9">
        <f t="shared" si="83"/>
        <v>2.2239304211640651</v>
      </c>
      <c r="AT58" s="10">
        <f t="shared" si="84"/>
        <v>0.1</v>
      </c>
      <c r="AU58" s="9">
        <f t="shared" si="85"/>
        <v>0.16512548891651432</v>
      </c>
      <c r="AV58" s="9">
        <f t="shared" si="86"/>
        <v>3.6106799999999998E-4</v>
      </c>
      <c r="AW58" s="9">
        <f t="shared" si="87"/>
        <v>0.16548655691651432</v>
      </c>
      <c r="BB58" s="7" t="s">
        <v>187</v>
      </c>
      <c r="BC58" s="9">
        <f t="shared" si="88"/>
        <v>2.2239304211640651</v>
      </c>
      <c r="BD58" s="9">
        <f>MoF!AS19</f>
        <v>0</v>
      </c>
      <c r="BE58" s="9">
        <v>0.24207293600215593</v>
      </c>
      <c r="BF58" s="9">
        <f t="shared" si="89"/>
        <v>1.9818574851619093</v>
      </c>
      <c r="BG58" s="10">
        <f t="shared" si="90"/>
        <v>0.1</v>
      </c>
      <c r="BH58" s="9">
        <f t="shared" si="91"/>
        <v>0.21028939531629873</v>
      </c>
      <c r="BI58" s="9">
        <f t="shared" si="92"/>
        <v>3.6106799999999998E-4</v>
      </c>
      <c r="BJ58" s="9">
        <f t="shared" si="93"/>
        <v>0.21065046331629872</v>
      </c>
      <c r="BO58" s="7" t="s">
        <v>187</v>
      </c>
      <c r="BP58" s="9">
        <f t="shared" si="94"/>
        <v>1.9818574851619093</v>
      </c>
      <c r="BQ58" s="9">
        <f>MoF!BC19</f>
        <v>0</v>
      </c>
      <c r="BR58" s="9">
        <v>0.24207293600215593</v>
      </c>
      <c r="BS58" s="9">
        <f t="shared" si="95"/>
        <v>1.7397845491597534</v>
      </c>
      <c r="BT58" s="10">
        <f t="shared" si="96"/>
        <v>0.1</v>
      </c>
      <c r="BU58" s="9">
        <f t="shared" si="97"/>
        <v>0.18608210171608316</v>
      </c>
      <c r="BV58" s="9">
        <f t="shared" si="98"/>
        <v>3.6106799999999998E-4</v>
      </c>
      <c r="BW58" s="9">
        <f t="shared" si="99"/>
        <v>0.18644316971608316</v>
      </c>
    </row>
    <row r="59" spans="2:75" x14ac:dyDescent="0.35">
      <c r="B59" s="7" t="s">
        <v>188</v>
      </c>
      <c r="C59" s="9">
        <v>6.6851107596656316</v>
      </c>
      <c r="D59" s="9">
        <v>0</v>
      </c>
      <c r="E59" s="9">
        <f>MoF!E20</f>
        <v>8.4855378999999995E-3</v>
      </c>
      <c r="F59" s="9">
        <v>0.47583282871782073</v>
      </c>
      <c r="G59" s="9">
        <f t="shared" si="76"/>
        <v>6.2177634688478109</v>
      </c>
      <c r="H59" s="10">
        <v>0.10300883831588067</v>
      </c>
      <c r="I59" s="9">
        <f t="shared" si="73"/>
        <v>0.66455504260754239</v>
      </c>
      <c r="J59" s="9">
        <v>1.7897799999999999E-4</v>
      </c>
      <c r="K59" s="9">
        <f t="shared" si="102"/>
        <v>0.66473402060754239</v>
      </c>
      <c r="O59" s="7" t="s">
        <v>188</v>
      </c>
      <c r="P59" s="9">
        <f t="shared" si="101"/>
        <v>6.2177634688478109</v>
      </c>
      <c r="Q59" s="9">
        <v>0</v>
      </c>
      <c r="R59" s="9">
        <f>MoF!O20</f>
        <v>9.1644623699999983E-2</v>
      </c>
      <c r="S59" s="9">
        <v>0.49258329340353507</v>
      </c>
      <c r="T59" s="9">
        <f t="shared" si="78"/>
        <v>5.8168247991442756</v>
      </c>
      <c r="U59" s="10">
        <v>0.10943227107687228</v>
      </c>
      <c r="V59" s="9">
        <f t="shared" si="74"/>
        <v>0.65848616282072847</v>
      </c>
      <c r="W59" s="9">
        <v>1.53404E-4</v>
      </c>
      <c r="X59" s="9">
        <f t="shared" si="103"/>
        <v>0.65863956682072844</v>
      </c>
      <c r="AB59" s="7" t="s">
        <v>188</v>
      </c>
      <c r="AC59" s="9">
        <f t="shared" si="100"/>
        <v>5.8168247991442756</v>
      </c>
      <c r="AD59" s="9">
        <v>0</v>
      </c>
      <c r="AE59" s="9">
        <f>MoF!Y20</f>
        <v>4.0543300000000001E-3</v>
      </c>
      <c r="AF59" s="9">
        <v>0.49296465340353507</v>
      </c>
      <c r="AG59" s="9">
        <f t="shared" si="80"/>
        <v>5.32791447574074</v>
      </c>
      <c r="AH59" s="10">
        <v>0.10159122073405977</v>
      </c>
      <c r="AI59" s="9">
        <f t="shared" si="75"/>
        <v>0.56610383384919438</v>
      </c>
      <c r="AJ59" s="9">
        <v>2.156626E-3</v>
      </c>
      <c r="AK59" s="9">
        <f t="shared" si="81"/>
        <v>0.56826045984919438</v>
      </c>
      <c r="AO59" s="7" t="s">
        <v>188</v>
      </c>
      <c r="AP59" s="9">
        <f t="shared" si="82"/>
        <v>5.32791447574074</v>
      </c>
      <c r="AQ59" s="9">
        <f>MoF!AI20</f>
        <v>1.7150000000000001</v>
      </c>
      <c r="AR59" s="9">
        <v>0.80943665251029351</v>
      </c>
      <c r="AS59" s="9">
        <f t="shared" si="83"/>
        <v>6.2334778232304462</v>
      </c>
      <c r="AT59" s="10">
        <f t="shared" si="84"/>
        <v>0.10159122073405977</v>
      </c>
      <c r="AU59" s="9">
        <f t="shared" si="85"/>
        <v>0.58726797851892021</v>
      </c>
      <c r="AV59" s="9">
        <f t="shared" si="86"/>
        <v>2.156626E-3</v>
      </c>
      <c r="AW59" s="9">
        <f t="shared" si="87"/>
        <v>0.5894246045189202</v>
      </c>
      <c r="BB59" s="7" t="s">
        <v>188</v>
      </c>
      <c r="BC59" s="9">
        <f t="shared" si="88"/>
        <v>6.2334778232304462</v>
      </c>
      <c r="BD59" s="9">
        <f>MoF!AS20</f>
        <v>0</v>
      </c>
      <c r="BE59" s="9">
        <v>0.96509665362684571</v>
      </c>
      <c r="BF59" s="9">
        <f t="shared" si="89"/>
        <v>5.2683811696036003</v>
      </c>
      <c r="BG59" s="10">
        <f t="shared" si="90"/>
        <v>0.10159122073405977</v>
      </c>
      <c r="BH59" s="9">
        <f t="shared" si="91"/>
        <v>0.58424394789651701</v>
      </c>
      <c r="BI59" s="9">
        <f t="shared" si="92"/>
        <v>2.156626E-3</v>
      </c>
      <c r="BJ59" s="9">
        <f t="shared" si="93"/>
        <v>0.58640057389651701</v>
      </c>
      <c r="BO59" s="7" t="s">
        <v>188</v>
      </c>
      <c r="BP59" s="9">
        <f t="shared" si="94"/>
        <v>5.2683811696036003</v>
      </c>
      <c r="BQ59" s="9">
        <f>MoF!BC20</f>
        <v>0</v>
      </c>
      <c r="BR59" s="9">
        <v>0.96509665362684571</v>
      </c>
      <c r="BS59" s="9">
        <f t="shared" si="95"/>
        <v>4.3032845159767543</v>
      </c>
      <c r="BT59" s="10">
        <f t="shared" si="96"/>
        <v>0.10159122073405977</v>
      </c>
      <c r="BU59" s="9">
        <f t="shared" si="97"/>
        <v>0.48619860072820964</v>
      </c>
      <c r="BV59" s="9">
        <f t="shared" si="98"/>
        <v>2.156626E-3</v>
      </c>
      <c r="BW59" s="9">
        <f t="shared" si="99"/>
        <v>0.48835522672820963</v>
      </c>
    </row>
    <row r="60" spans="2:75" x14ac:dyDescent="0.35">
      <c r="B60" s="7" t="s">
        <v>189</v>
      </c>
      <c r="C60" s="9">
        <v>9.3084733864834419</v>
      </c>
      <c r="D60" s="9">
        <v>0</v>
      </c>
      <c r="E60" s="9">
        <f>MoF!E21</f>
        <v>3.3906526884999999</v>
      </c>
      <c r="F60" s="9">
        <v>1.3822639678412023</v>
      </c>
      <c r="G60" s="9">
        <f t="shared" si="76"/>
        <v>11.316862107142239</v>
      </c>
      <c r="H60" s="10">
        <v>0.10974705877887149</v>
      </c>
      <c r="I60" s="9">
        <f t="shared" si="73"/>
        <v>1.131784953376441</v>
      </c>
      <c r="J60" s="9">
        <v>5.9096909999999999E-3</v>
      </c>
      <c r="K60" s="9">
        <f t="shared" si="102"/>
        <v>1.1376946443764411</v>
      </c>
      <c r="O60" s="7" t="s">
        <v>189</v>
      </c>
      <c r="P60" s="9">
        <f t="shared" si="101"/>
        <v>11.316862107142239</v>
      </c>
      <c r="Q60" s="9">
        <v>0</v>
      </c>
      <c r="R60" s="9">
        <f>MoF!O21</f>
        <v>1.8122161259999998</v>
      </c>
      <c r="S60" s="9">
        <v>1.6152954696136461</v>
      </c>
      <c r="T60" s="9">
        <f t="shared" si="78"/>
        <v>11.513782763528592</v>
      </c>
      <c r="U60" s="10">
        <v>9.9437323717708151E-2</v>
      </c>
      <c r="V60" s="9">
        <f t="shared" si="74"/>
        <v>1.1351091123444643</v>
      </c>
      <c r="W60" s="9">
        <v>1.817623E-3</v>
      </c>
      <c r="X60" s="9">
        <f t="shared" si="103"/>
        <v>1.1369267353444643</v>
      </c>
      <c r="AB60" s="7" t="s">
        <v>189</v>
      </c>
      <c r="AC60" s="9">
        <f t="shared" si="100"/>
        <v>11.513782763528592</v>
      </c>
      <c r="AD60" s="9">
        <v>0</v>
      </c>
      <c r="AE60" s="9">
        <f>MoF!Y21</f>
        <v>1.3444792830000001</v>
      </c>
      <c r="AF60" s="9">
        <v>1.6893486624065961</v>
      </c>
      <c r="AG60" s="9">
        <f t="shared" si="80"/>
        <v>11.168913384121996</v>
      </c>
      <c r="AH60" s="10">
        <v>0.10321638252760711</v>
      </c>
      <c r="AI60" s="9">
        <f t="shared" si="75"/>
        <v>1.1706129211666916</v>
      </c>
      <c r="AJ60" s="9">
        <v>3.0883109999999998E-3</v>
      </c>
      <c r="AK60" s="9">
        <f t="shared" si="81"/>
        <v>1.1737012321666915</v>
      </c>
      <c r="AO60" s="7" t="s">
        <v>189</v>
      </c>
      <c r="AP60" s="9">
        <f t="shared" si="82"/>
        <v>11.168913384121996</v>
      </c>
      <c r="AQ60" s="9">
        <f>MoF!AI21</f>
        <v>17.087</v>
      </c>
      <c r="AR60" s="9">
        <v>2.1102881254164725</v>
      </c>
      <c r="AS60" s="9">
        <f t="shared" si="83"/>
        <v>26.145625258705522</v>
      </c>
      <c r="AT60" s="10">
        <f t="shared" si="84"/>
        <v>0.10321638252760711</v>
      </c>
      <c r="AU60" s="9">
        <f t="shared" si="85"/>
        <v>1.9257358471996311</v>
      </c>
      <c r="AV60" s="9">
        <f t="shared" si="86"/>
        <v>3.0883109999999998E-3</v>
      </c>
      <c r="AW60" s="9">
        <f t="shared" si="87"/>
        <v>1.928824158199631</v>
      </c>
      <c r="BB60" s="7" t="s">
        <v>189</v>
      </c>
      <c r="BC60" s="9">
        <f t="shared" si="88"/>
        <v>26.145625258705522</v>
      </c>
      <c r="BD60" s="9">
        <f>MoF!AS21</f>
        <v>45.5</v>
      </c>
      <c r="BE60" s="9">
        <v>4.4707121254164726</v>
      </c>
      <c r="BF60" s="9">
        <f t="shared" si="89"/>
        <v>67.174913133289053</v>
      </c>
      <c r="BG60" s="10">
        <f t="shared" si="90"/>
        <v>0.10321638252760711</v>
      </c>
      <c r="BH60" s="9">
        <f t="shared" si="91"/>
        <v>4.8161041941751783</v>
      </c>
      <c r="BI60" s="9">
        <f t="shared" si="92"/>
        <v>3.0883109999999998E-3</v>
      </c>
      <c r="BJ60" s="9">
        <f t="shared" si="93"/>
        <v>4.8191925051751783</v>
      </c>
      <c r="BO60" s="7" t="s">
        <v>189</v>
      </c>
      <c r="BP60" s="9">
        <f t="shared" si="94"/>
        <v>67.174913133289053</v>
      </c>
      <c r="BQ60" s="9">
        <f>MoF!BC21</f>
        <v>24.177999999999997</v>
      </c>
      <c r="BR60" s="9">
        <v>7.569502747792769</v>
      </c>
      <c r="BS60" s="9">
        <f t="shared" si="95"/>
        <v>83.783410385496282</v>
      </c>
      <c r="BT60" s="10">
        <f t="shared" si="96"/>
        <v>0.10321638252760711</v>
      </c>
      <c r="BU60" s="9">
        <f t="shared" si="97"/>
        <v>7.7906860330206076</v>
      </c>
      <c r="BV60" s="9">
        <f t="shared" si="98"/>
        <v>3.0883109999999998E-3</v>
      </c>
      <c r="BW60" s="9">
        <f t="shared" si="99"/>
        <v>7.7937743440206075</v>
      </c>
    </row>
    <row r="61" spans="2:75" x14ac:dyDescent="0.35">
      <c r="B61" s="12" t="s">
        <v>27</v>
      </c>
      <c r="C61" s="13">
        <f>SUM(C44:C60)</f>
        <v>19643.484203686243</v>
      </c>
      <c r="D61" s="13">
        <f>SUM(D44:D60)</f>
        <v>-4.1344454414048357</v>
      </c>
      <c r="E61" s="13">
        <f t="shared" ref="E61:G61" si="104">SUM(E44:E60)</f>
        <v>413.36339817989995</v>
      </c>
      <c r="F61" s="13">
        <f t="shared" si="104"/>
        <v>2058.1859818632693</v>
      </c>
      <c r="G61" s="13">
        <f t="shared" si="104"/>
        <v>17994.527174561466</v>
      </c>
      <c r="H61" s="9"/>
      <c r="I61" s="13">
        <f>SUM(I44:I60)</f>
        <v>1868.4670514419297</v>
      </c>
      <c r="J61" s="13">
        <f>SUM(J44:J60)</f>
        <v>14.315455939811978</v>
      </c>
      <c r="K61" s="13">
        <f>SUM(K44:K60)</f>
        <v>1882.7825073817419</v>
      </c>
      <c r="O61" s="12" t="s">
        <v>27</v>
      </c>
      <c r="P61" s="13">
        <f>SUM(P44:P60)</f>
        <v>17994.527174561466</v>
      </c>
      <c r="Q61" s="13">
        <f>SUM(Q44:Q60)</f>
        <v>-1.8064479837735266</v>
      </c>
      <c r="R61" s="13">
        <f t="shared" ref="R61:T61" si="105">SUM(R44:R60)</f>
        <v>404.40397804485002</v>
      </c>
      <c r="S61" s="13">
        <f t="shared" si="105"/>
        <v>2078.7980285526382</v>
      </c>
      <c r="T61" s="13">
        <f t="shared" si="105"/>
        <v>16318.326676069904</v>
      </c>
      <c r="U61" s="9"/>
      <c r="V61" s="13">
        <f>SUM(V44:V60)</f>
        <v>1773.5742918730423</v>
      </c>
      <c r="W61" s="13">
        <f>SUM(W44:W60)</f>
        <v>24.311201065000002</v>
      </c>
      <c r="X61" s="13">
        <f>SUM(X44:X60)</f>
        <v>1797.8854929380425</v>
      </c>
      <c r="AB61" s="12" t="s">
        <v>27</v>
      </c>
      <c r="AC61" s="13">
        <f>SUM(AC44:AC60)</f>
        <v>16318.326676069904</v>
      </c>
      <c r="AD61" s="13">
        <f>SUM(AD44:AD60)</f>
        <v>-35.42884542228304</v>
      </c>
      <c r="AE61" s="13">
        <f t="shared" ref="AE61:AG61" si="106">SUM(AE44:AE60)</f>
        <v>812.48191739425249</v>
      </c>
      <c r="AF61" s="13">
        <f t="shared" si="106"/>
        <v>1933.0939912781048</v>
      </c>
      <c r="AG61" s="13">
        <f t="shared" si="106"/>
        <v>15162.285756763773</v>
      </c>
      <c r="AH61" s="9"/>
      <c r="AI61" s="13">
        <f>SUM(AI44:AI60)</f>
        <v>1560.7776946160827</v>
      </c>
      <c r="AJ61" s="13">
        <f>SUM(AJ44:AJ60)</f>
        <v>12.696822864000017</v>
      </c>
      <c r="AK61" s="13">
        <f>SUM(AK44:AK60)</f>
        <v>1573.4745174800828</v>
      </c>
      <c r="AO61" s="12" t="s">
        <v>27</v>
      </c>
      <c r="AP61" s="13">
        <f>SUM(AP44:AP60)</f>
        <v>15162.285756763773</v>
      </c>
      <c r="AQ61" s="13">
        <f t="shared" ref="AQ61:AS61" si="107">SUM(AQ44:AQ60)</f>
        <v>832.048</v>
      </c>
      <c r="AR61" s="13">
        <f t="shared" si="107"/>
        <v>2014.5264431770472</v>
      </c>
      <c r="AS61" s="13">
        <f t="shared" si="107"/>
        <v>13979.807313586725</v>
      </c>
      <c r="AT61" s="9"/>
      <c r="AU61" s="13">
        <f>SUM(AU44:AU60)</f>
        <v>1447.1145753223745</v>
      </c>
      <c r="AV61" s="13">
        <f>SUM(AV44:AV60)</f>
        <v>12.696822864000017</v>
      </c>
      <c r="AW61" s="13">
        <f>SUM(AW44:AW60)</f>
        <v>1459.8113981863742</v>
      </c>
      <c r="BB61" s="12" t="s">
        <v>27</v>
      </c>
      <c r="BC61" s="13">
        <f>SUM(BC44:BC60)</f>
        <v>13979.807313586725</v>
      </c>
      <c r="BD61" s="13">
        <f t="shared" ref="BD61:BF61" si="108">SUM(BD44:BD60)</f>
        <v>1715.2589999999998</v>
      </c>
      <c r="BE61" s="13">
        <f t="shared" si="108"/>
        <v>2272.2347971134077</v>
      </c>
      <c r="BF61" s="13">
        <f t="shared" si="108"/>
        <v>13422.831516473318</v>
      </c>
      <c r="BG61" s="9"/>
      <c r="BH61" s="13">
        <f>SUM(BH44:BH60)</f>
        <v>1361.0017186511309</v>
      </c>
      <c r="BI61" s="13">
        <f>SUM(BI44:BI60)</f>
        <v>12.696822864000017</v>
      </c>
      <c r="BJ61" s="13">
        <f>SUM(BJ44:BJ60)</f>
        <v>1373.6985415151307</v>
      </c>
      <c r="BO61" s="12" t="s">
        <v>27</v>
      </c>
      <c r="BP61" s="13">
        <f>SUM(BP44:BP60)</f>
        <v>13422.831516473318</v>
      </c>
      <c r="BQ61" s="13">
        <f t="shared" ref="BQ61:BS61" si="109">SUM(BQ44:BQ60)</f>
        <v>5830.3069999999989</v>
      </c>
      <c r="BR61" s="13">
        <f t="shared" si="109"/>
        <v>2847.1058497082022</v>
      </c>
      <c r="BS61" s="13">
        <f t="shared" si="109"/>
        <v>16406.03266676511</v>
      </c>
      <c r="BT61" s="9"/>
      <c r="BU61" s="13">
        <f>SUM(BU44:BU60)</f>
        <v>1481.8166616076103</v>
      </c>
      <c r="BV61" s="13">
        <f>SUM(BV44:BV60)</f>
        <v>12.696822864000017</v>
      </c>
      <c r="BW61" s="13">
        <f>SUM(BW44:BW60)</f>
        <v>1494.5134844716101</v>
      </c>
    </row>
  </sheetData>
  <mergeCells count="24">
    <mergeCell ref="BV3:BX3"/>
    <mergeCell ref="AO3:AO4"/>
    <mergeCell ref="AP3:AR3"/>
    <mergeCell ref="AS3:AU3"/>
    <mergeCell ref="AV3:AX3"/>
    <mergeCell ref="BB3:BB4"/>
    <mergeCell ref="BC3:BE3"/>
    <mergeCell ref="BF3:BH3"/>
    <mergeCell ref="BI3:BK3"/>
    <mergeCell ref="BO3:BO4"/>
    <mergeCell ref="BP3:BR3"/>
    <mergeCell ref="BS3:BU3"/>
    <mergeCell ref="AI3:AK3"/>
    <mergeCell ref="B3:B4"/>
    <mergeCell ref="C3:E3"/>
    <mergeCell ref="F3:H3"/>
    <mergeCell ref="I3:K3"/>
    <mergeCell ref="O3:O4"/>
    <mergeCell ref="P3:R3"/>
    <mergeCell ref="S3:U3"/>
    <mergeCell ref="V3:X3"/>
    <mergeCell ref="AB3:AB4"/>
    <mergeCell ref="AC3:AE3"/>
    <mergeCell ref="AF3:AH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64"/>
  <sheetViews>
    <sheetView showGridLines="0" topLeftCell="A21" workbookViewId="0">
      <selection activeCell="E32" sqref="E32"/>
    </sheetView>
  </sheetViews>
  <sheetFormatPr defaultColWidth="9.1796875" defaultRowHeight="15.5" x14ac:dyDescent="0.35"/>
  <cols>
    <col min="1" max="1" width="9.1796875" style="5"/>
    <col min="2" max="2" width="28.453125" style="5" customWidth="1"/>
    <col min="3" max="3" width="11.26953125" style="5" customWidth="1"/>
    <col min="4" max="4" width="12.54296875" style="5" customWidth="1"/>
    <col min="5" max="6" width="11.81640625" style="5" customWidth="1"/>
    <col min="7" max="7" width="12.54296875" style="5" customWidth="1"/>
    <col min="8" max="8" width="11.81640625" style="5" customWidth="1"/>
    <col min="9" max="9" width="11.26953125" style="5" customWidth="1"/>
    <col min="10" max="10" width="12.54296875" style="5" customWidth="1"/>
    <col min="11" max="11" width="11.81640625" style="5" customWidth="1"/>
    <col min="12" max="12" width="11.26953125" style="5" customWidth="1"/>
    <col min="13" max="13" width="12.54296875" style="5" customWidth="1"/>
    <col min="14" max="14" width="11.81640625" style="5" customWidth="1"/>
    <col min="15" max="15" width="11.26953125" style="5" customWidth="1"/>
    <col min="16" max="16" width="12.54296875" style="5" customWidth="1"/>
    <col min="17" max="17" width="11.81640625" style="5" customWidth="1"/>
    <col min="18" max="18" width="11.26953125" style="5" customWidth="1"/>
    <col min="19" max="19" width="12.54296875" style="5" customWidth="1"/>
    <col min="20" max="20" width="11.81640625" style="5" customWidth="1"/>
    <col min="21" max="21" width="9.54296875" style="5" bestFit="1" customWidth="1"/>
    <col min="22" max="22" width="13.1796875" style="5" customWidth="1"/>
    <col min="23" max="23" width="9.1796875" style="5"/>
    <col min="24" max="24" width="9.54296875" style="5" bestFit="1" customWidth="1"/>
    <col min="25" max="26" width="9.1796875" style="5"/>
    <col min="27" max="27" width="9.54296875" style="5" bestFit="1" customWidth="1"/>
    <col min="28" max="28" width="13.1796875" style="5" customWidth="1"/>
    <col min="29" max="29" width="9.1796875" style="5"/>
    <col min="30" max="30" width="9.54296875" style="5" bestFit="1" customWidth="1"/>
    <col min="31" max="32" width="9.1796875" style="5"/>
    <col min="33" max="33" width="9.54296875" style="5" bestFit="1" customWidth="1"/>
    <col min="34" max="34" width="13.1796875" style="5" customWidth="1"/>
    <col min="35" max="35" width="9.1796875" style="5"/>
    <col min="36" max="36" width="9.54296875" style="5" bestFit="1" customWidth="1"/>
    <col min="37" max="16384" width="9.1796875" style="5"/>
  </cols>
  <sheetData>
    <row r="2" spans="2:20" x14ac:dyDescent="0.35">
      <c r="B2" s="3" t="s">
        <v>196</v>
      </c>
      <c r="T2" s="3" t="s">
        <v>164</v>
      </c>
    </row>
    <row r="3" spans="2:20" x14ac:dyDescent="0.35">
      <c r="B3" s="187" t="s">
        <v>170</v>
      </c>
      <c r="C3" s="187" t="s">
        <v>31</v>
      </c>
      <c r="D3" s="187"/>
      <c r="E3" s="187"/>
      <c r="F3" s="187" t="s">
        <v>32</v>
      </c>
      <c r="G3" s="187"/>
      <c r="H3" s="187"/>
      <c r="I3" s="187" t="s">
        <v>33</v>
      </c>
      <c r="J3" s="187"/>
      <c r="K3" s="187"/>
      <c r="L3" s="187" t="s">
        <v>34</v>
      </c>
      <c r="M3" s="187"/>
      <c r="N3" s="187"/>
      <c r="O3" s="187" t="s">
        <v>35</v>
      </c>
      <c r="P3" s="187"/>
      <c r="Q3" s="187"/>
      <c r="R3" s="187" t="s">
        <v>127</v>
      </c>
      <c r="S3" s="187"/>
      <c r="T3" s="187"/>
    </row>
    <row r="4" spans="2:20" ht="30" x14ac:dyDescent="0.35">
      <c r="B4" s="187"/>
      <c r="C4" s="96" t="s">
        <v>171</v>
      </c>
      <c r="D4" s="96" t="s">
        <v>131</v>
      </c>
      <c r="E4" s="96" t="s">
        <v>132</v>
      </c>
      <c r="F4" s="96" t="s">
        <v>172</v>
      </c>
      <c r="G4" s="96" t="s">
        <v>131</v>
      </c>
      <c r="H4" s="96" t="s">
        <v>132</v>
      </c>
      <c r="I4" s="96" t="s">
        <v>172</v>
      </c>
      <c r="J4" s="96" t="s">
        <v>131</v>
      </c>
      <c r="K4" s="96" t="s">
        <v>132</v>
      </c>
      <c r="L4" s="96" t="s">
        <v>172</v>
      </c>
      <c r="M4" s="96" t="s">
        <v>131</v>
      </c>
      <c r="N4" s="96" t="s">
        <v>132</v>
      </c>
      <c r="O4" s="96" t="s">
        <v>172</v>
      </c>
      <c r="P4" s="96" t="s">
        <v>131</v>
      </c>
      <c r="Q4" s="96" t="s">
        <v>132</v>
      </c>
      <c r="R4" s="96" t="s">
        <v>172</v>
      </c>
      <c r="S4" s="96" t="s">
        <v>131</v>
      </c>
      <c r="T4" s="96" t="s">
        <v>132</v>
      </c>
    </row>
    <row r="5" spans="2:20" x14ac:dyDescent="0.35">
      <c r="B5" s="7" t="s">
        <v>43</v>
      </c>
      <c r="C5" s="97">
        <v>14.473886336020819</v>
      </c>
      <c r="D5" s="97">
        <f>H46</f>
        <v>14.455101074641496</v>
      </c>
      <c r="E5" s="97">
        <f>H24</f>
        <v>14.455024784137494</v>
      </c>
      <c r="F5" s="97">
        <v>13.337577658341388</v>
      </c>
      <c r="G5" s="97">
        <f>N46</f>
        <v>14.380975142747463</v>
      </c>
      <c r="H5" s="97">
        <f>N24</f>
        <v>14.145080547342749</v>
      </c>
      <c r="I5" s="97">
        <v>13.684077658341387</v>
      </c>
      <c r="J5" s="97">
        <f>T46</f>
        <v>13.606149038797318</v>
      </c>
      <c r="K5" s="97">
        <f>T24</f>
        <v>13.367274304654611</v>
      </c>
      <c r="L5" s="97">
        <v>13.915077658341387</v>
      </c>
      <c r="M5" s="97">
        <f>Z46</f>
        <v>13.403118955167326</v>
      </c>
      <c r="N5" s="97">
        <f>Z24</f>
        <v>13.402903431789325</v>
      </c>
      <c r="O5" s="97">
        <v>14.098659658341388</v>
      </c>
      <c r="P5" s="97">
        <f>AF46</f>
        <v>13.519458955167325</v>
      </c>
      <c r="Q5" s="97">
        <f>AF24</f>
        <v>13.519243431789326</v>
      </c>
      <c r="R5" s="97">
        <v>14.234823658341389</v>
      </c>
      <c r="S5" s="97">
        <f>AL46</f>
        <v>13.635798955167326</v>
      </c>
      <c r="T5" s="97">
        <f>AL24</f>
        <v>13.635583431789325</v>
      </c>
    </row>
    <row r="6" spans="2:20" x14ac:dyDescent="0.35">
      <c r="B6" s="7" t="s">
        <v>150</v>
      </c>
      <c r="C6" s="97">
        <v>121.41528727404719</v>
      </c>
      <c r="D6" s="97">
        <f t="shared" ref="D6:D17" si="0">H47</f>
        <v>120.34999004657971</v>
      </c>
      <c r="E6" s="97">
        <f t="shared" ref="E6:E17" si="1">H25</f>
        <v>120.34989234110519</v>
      </c>
      <c r="F6" s="97">
        <v>114.82390276365554</v>
      </c>
      <c r="G6" s="97">
        <f t="shared" ref="G6:G17" si="2">N47</f>
        <v>114.11467419595661</v>
      </c>
      <c r="H6" s="97">
        <f t="shared" ref="H6:H17" si="3">N25</f>
        <v>111.09734041867453</v>
      </c>
      <c r="I6" s="97">
        <v>121.45064176365554</v>
      </c>
      <c r="J6" s="97">
        <f t="shared" ref="J6:J17" si="4">T47</f>
        <v>122.80715424116624</v>
      </c>
      <c r="K6" s="97">
        <f t="shared" ref="K6:K17" si="5">T25</f>
        <v>119.96408623229503</v>
      </c>
      <c r="L6" s="97">
        <v>126.48219976365556</v>
      </c>
      <c r="M6" s="97">
        <f t="shared" ref="M6:M17" si="6">Z47</f>
        <v>133.39973653899855</v>
      </c>
      <c r="N6" s="97">
        <f t="shared" ref="N6:N17" si="7">Z25</f>
        <v>131.75565045148753</v>
      </c>
      <c r="O6" s="97">
        <v>128.66419072432396</v>
      </c>
      <c r="P6" s="97">
        <f t="shared" ref="P6:P17" si="8">AF47</f>
        <v>146.49974653899852</v>
      </c>
      <c r="Q6" s="97">
        <f t="shared" ref="Q6:Q17" si="9">AF25</f>
        <v>139.07667193667052</v>
      </c>
      <c r="R6" s="97">
        <v>130.09913464566074</v>
      </c>
      <c r="S6" s="97">
        <f t="shared" ref="S6:S17" si="10">AL47</f>
        <v>191.07182653899855</v>
      </c>
      <c r="T6" s="97">
        <f t="shared" ref="T6:T17" si="11">AL25</f>
        <v>161.54416383692956</v>
      </c>
    </row>
    <row r="7" spans="2:20" x14ac:dyDescent="0.35">
      <c r="B7" s="7" t="s">
        <v>151</v>
      </c>
      <c r="C7" s="97">
        <v>152.26360394181719</v>
      </c>
      <c r="D7" s="97">
        <f t="shared" si="0"/>
        <v>151.0060060912738</v>
      </c>
      <c r="E7" s="97">
        <f t="shared" si="1"/>
        <v>151.00609429656581</v>
      </c>
      <c r="F7" s="97">
        <v>142.86063146357682</v>
      </c>
      <c r="G7" s="97">
        <f t="shared" si="2"/>
        <v>141.72937579467319</v>
      </c>
      <c r="H7" s="97">
        <f t="shared" si="3"/>
        <v>136.83840268444445</v>
      </c>
      <c r="I7" s="97">
        <v>148.89873521357683</v>
      </c>
      <c r="J7" s="97">
        <f t="shared" si="4"/>
        <v>141.65184402581727</v>
      </c>
      <c r="K7" s="97">
        <f t="shared" si="5"/>
        <v>137.3514940562778</v>
      </c>
      <c r="L7" s="97">
        <v>151.97245271357681</v>
      </c>
      <c r="M7" s="97">
        <f t="shared" si="6"/>
        <v>138.63191272635589</v>
      </c>
      <c r="N7" s="97">
        <f t="shared" si="7"/>
        <v>138.62383888033787</v>
      </c>
      <c r="O7" s="97">
        <v>153.28194446357682</v>
      </c>
      <c r="P7" s="97">
        <f t="shared" si="8"/>
        <v>153.23342272635588</v>
      </c>
      <c r="Q7" s="97">
        <f t="shared" si="9"/>
        <v>148.42873888033785</v>
      </c>
      <c r="R7" s="97">
        <v>153.9246704635768</v>
      </c>
      <c r="S7" s="97">
        <f t="shared" si="10"/>
        <v>174.35585272635592</v>
      </c>
      <c r="T7" s="97">
        <f t="shared" si="11"/>
        <v>159.3937382742138</v>
      </c>
    </row>
    <row r="8" spans="2:20" x14ac:dyDescent="0.35">
      <c r="B8" s="7" t="s">
        <v>44</v>
      </c>
      <c r="C8" s="97">
        <v>40.398725681186583</v>
      </c>
      <c r="D8" s="97">
        <f t="shared" si="0"/>
        <v>37.75883812636534</v>
      </c>
      <c r="E8" s="97">
        <f t="shared" si="1"/>
        <v>37.744180181186593</v>
      </c>
      <c r="F8" s="97">
        <v>41.111355583007253</v>
      </c>
      <c r="G8" s="97">
        <f t="shared" si="2"/>
        <v>39.658094770959188</v>
      </c>
      <c r="H8" s="97">
        <f t="shared" si="3"/>
        <v>38.533622680232298</v>
      </c>
      <c r="I8" s="97">
        <v>44.25217858300725</v>
      </c>
      <c r="J8" s="97">
        <f t="shared" si="4"/>
        <v>38.732912586395088</v>
      </c>
      <c r="K8" s="97">
        <f t="shared" si="5"/>
        <v>37.839129653203635</v>
      </c>
      <c r="L8" s="97">
        <v>47.790804583007244</v>
      </c>
      <c r="M8" s="97">
        <f t="shared" si="6"/>
        <v>37.466130726502286</v>
      </c>
      <c r="N8" s="97">
        <f t="shared" si="7"/>
        <v>37.226693848276291</v>
      </c>
      <c r="O8" s="97">
        <v>51.088225133770045</v>
      </c>
      <c r="P8" s="97">
        <f t="shared" si="8"/>
        <v>41.03130072650228</v>
      </c>
      <c r="Q8" s="97">
        <f t="shared" si="9"/>
        <v>40.105354948276293</v>
      </c>
      <c r="R8" s="97">
        <v>54.14444023529564</v>
      </c>
      <c r="S8" s="97">
        <f t="shared" si="10"/>
        <v>48.838050726502289</v>
      </c>
      <c r="T8" s="97">
        <f t="shared" si="11"/>
        <v>41.970364948276291</v>
      </c>
    </row>
    <row r="9" spans="2:20" x14ac:dyDescent="0.35">
      <c r="B9" s="7" t="s">
        <v>152</v>
      </c>
      <c r="C9" s="97">
        <v>37.915173064725906</v>
      </c>
      <c r="D9" s="97">
        <f t="shared" si="0"/>
        <v>37.423463186835342</v>
      </c>
      <c r="E9" s="97">
        <f t="shared" si="1"/>
        <v>37.423430396174588</v>
      </c>
      <c r="F9" s="97">
        <v>35.957672768139531</v>
      </c>
      <c r="G9" s="97">
        <f t="shared" si="2"/>
        <v>37.571332085065436</v>
      </c>
      <c r="H9" s="97">
        <f t="shared" si="3"/>
        <v>36.921906106281085</v>
      </c>
      <c r="I9" s="97">
        <v>37.254212768139524</v>
      </c>
      <c r="J9" s="97">
        <f t="shared" si="4"/>
        <v>37.506553889537528</v>
      </c>
      <c r="K9" s="97">
        <f t="shared" si="5"/>
        <v>36.611907051805353</v>
      </c>
      <c r="L9" s="97">
        <v>38.31534276813953</v>
      </c>
      <c r="M9" s="97">
        <f t="shared" si="6"/>
        <v>35.153449268943675</v>
      </c>
      <c r="N9" s="97">
        <f t="shared" si="7"/>
        <v>35.091071351691674</v>
      </c>
      <c r="O9" s="97">
        <v>39.057648878143723</v>
      </c>
      <c r="P9" s="97">
        <f t="shared" si="8"/>
        <v>36.333019268943673</v>
      </c>
      <c r="Q9" s="97">
        <f t="shared" si="9"/>
        <v>35.846021351691675</v>
      </c>
      <c r="R9" s="97">
        <v>39.637161098152127</v>
      </c>
      <c r="S9" s="97">
        <f t="shared" si="10"/>
        <v>39.126439268943678</v>
      </c>
      <c r="T9" s="97">
        <f t="shared" si="11"/>
        <v>36.696101351691681</v>
      </c>
    </row>
    <row r="10" spans="2:20" x14ac:dyDescent="0.35">
      <c r="B10" s="7" t="s">
        <v>154</v>
      </c>
      <c r="C10" s="97">
        <v>45.707953230473329</v>
      </c>
      <c r="D10" s="97">
        <f t="shared" si="0"/>
        <v>45.717548145384065</v>
      </c>
      <c r="E10" s="97">
        <f t="shared" si="1"/>
        <v>45.717548146011822</v>
      </c>
      <c r="F10" s="97">
        <v>42.672072917846883</v>
      </c>
      <c r="G10" s="97">
        <f t="shared" si="2"/>
        <v>42.21405412302235</v>
      </c>
      <c r="H10" s="97">
        <f t="shared" si="3"/>
        <v>41.473425047951579</v>
      </c>
      <c r="I10" s="97">
        <v>45.137787917846886</v>
      </c>
      <c r="J10" s="97">
        <f t="shared" si="4"/>
        <v>42.391934410118033</v>
      </c>
      <c r="K10" s="97">
        <f t="shared" si="5"/>
        <v>43.13558703030796</v>
      </c>
      <c r="L10" s="97">
        <v>46.909767917846885</v>
      </c>
      <c r="M10" s="97">
        <f t="shared" si="6"/>
        <v>42.377004827972101</v>
      </c>
      <c r="N10" s="97">
        <f t="shared" si="7"/>
        <v>42.376941562154101</v>
      </c>
      <c r="O10" s="97">
        <v>47.648400849653804</v>
      </c>
      <c r="P10" s="97">
        <f t="shared" si="8"/>
        <v>45.497394827972101</v>
      </c>
      <c r="Q10" s="97">
        <f t="shared" si="9"/>
        <v>45.497541562154105</v>
      </c>
      <c r="R10" s="97">
        <v>47.738196713267612</v>
      </c>
      <c r="S10" s="97">
        <f t="shared" si="10"/>
        <v>48.431304827972106</v>
      </c>
      <c r="T10" s="97">
        <f t="shared" si="11"/>
        <v>48.071091562154095</v>
      </c>
    </row>
    <row r="11" spans="2:20" x14ac:dyDescent="0.35">
      <c r="B11" s="7" t="s">
        <v>155</v>
      </c>
      <c r="C11" s="97">
        <v>144.90169099203459</v>
      </c>
      <c r="D11" s="97">
        <f t="shared" si="0"/>
        <v>142.86592789795304</v>
      </c>
      <c r="E11" s="97">
        <f t="shared" si="1"/>
        <v>142.83694541759428</v>
      </c>
      <c r="F11" s="97">
        <v>133.49974670248287</v>
      </c>
      <c r="G11" s="97">
        <f t="shared" si="2"/>
        <v>131.75003926023945</v>
      </c>
      <c r="H11" s="97">
        <f t="shared" si="3"/>
        <v>129.34757372930036</v>
      </c>
      <c r="I11" s="97">
        <v>134.64573770248288</v>
      </c>
      <c r="J11" s="97">
        <f t="shared" si="4"/>
        <v>132.57798104377545</v>
      </c>
      <c r="K11" s="97">
        <f t="shared" si="5"/>
        <v>130.03325228090037</v>
      </c>
      <c r="L11" s="97">
        <v>135.67561970248286</v>
      </c>
      <c r="M11" s="97">
        <f t="shared" si="6"/>
        <v>132.55346215586638</v>
      </c>
      <c r="N11" s="97">
        <f t="shared" si="7"/>
        <v>132.24400621118039</v>
      </c>
      <c r="O11" s="97">
        <v>136.70550170248288</v>
      </c>
      <c r="P11" s="97">
        <f t="shared" si="8"/>
        <v>135.32084215586639</v>
      </c>
      <c r="Q11" s="97">
        <f t="shared" si="9"/>
        <v>134.92177158986038</v>
      </c>
      <c r="R11" s="97">
        <v>137.73538370248286</v>
      </c>
      <c r="S11" s="97">
        <f t="shared" si="10"/>
        <v>148.53656215586639</v>
      </c>
      <c r="T11" s="97">
        <f t="shared" si="11"/>
        <v>143.88058158986038</v>
      </c>
    </row>
    <row r="12" spans="2:20" x14ac:dyDescent="0.35">
      <c r="B12" s="7" t="s">
        <v>156</v>
      </c>
      <c r="C12" s="97">
        <v>139.45461337576134</v>
      </c>
      <c r="D12" s="97">
        <f t="shared" si="0"/>
        <v>139.34485911802972</v>
      </c>
      <c r="E12" s="97">
        <f t="shared" si="1"/>
        <v>139.34480819676324</v>
      </c>
      <c r="F12" s="97">
        <v>129.09682562971994</v>
      </c>
      <c r="G12" s="97">
        <f t="shared" si="2"/>
        <v>136.59340481693962</v>
      </c>
      <c r="H12" s="97">
        <f t="shared" si="3"/>
        <v>134.31593281531426</v>
      </c>
      <c r="I12" s="97">
        <v>132.04585562971994</v>
      </c>
      <c r="J12" s="97">
        <f t="shared" si="4"/>
        <v>133.97732166115145</v>
      </c>
      <c r="K12" s="97">
        <f t="shared" si="5"/>
        <v>129.27483201698047</v>
      </c>
      <c r="L12" s="97">
        <v>134.01187562971995</v>
      </c>
      <c r="M12" s="97">
        <f t="shared" si="6"/>
        <v>131.47416225085726</v>
      </c>
      <c r="N12" s="97">
        <f t="shared" si="7"/>
        <v>131.29846369529326</v>
      </c>
      <c r="O12" s="97">
        <v>135.16465878748184</v>
      </c>
      <c r="P12" s="97">
        <f t="shared" si="8"/>
        <v>132.85050225085729</v>
      </c>
      <c r="Q12" s="97">
        <f t="shared" si="9"/>
        <v>132.62923369529327</v>
      </c>
      <c r="R12" s="97">
        <v>135.50420510300566</v>
      </c>
      <c r="S12" s="97">
        <f t="shared" si="10"/>
        <v>154.80327225085728</v>
      </c>
      <c r="T12" s="97">
        <f t="shared" si="11"/>
        <v>136.21645369529327</v>
      </c>
    </row>
    <row r="13" spans="2:20" x14ac:dyDescent="0.35">
      <c r="B13" s="7" t="s">
        <v>8</v>
      </c>
      <c r="C13" s="97">
        <v>111.67374878145554</v>
      </c>
      <c r="D13" s="97">
        <f t="shared" si="0"/>
        <v>109.97746404468404</v>
      </c>
      <c r="E13" s="97">
        <f t="shared" si="1"/>
        <v>111.38454575145558</v>
      </c>
      <c r="F13" s="97">
        <v>104.88233680260502</v>
      </c>
      <c r="G13" s="97">
        <f t="shared" si="2"/>
        <v>101.64822854462093</v>
      </c>
      <c r="H13" s="97">
        <f t="shared" si="3"/>
        <v>101.13574149924216</v>
      </c>
      <c r="I13" s="97">
        <v>107.865465552605</v>
      </c>
      <c r="J13" s="97">
        <f t="shared" si="4"/>
        <v>103.61222140185188</v>
      </c>
      <c r="K13" s="97">
        <f t="shared" si="5"/>
        <v>103.06497522843438</v>
      </c>
      <c r="L13" s="97">
        <v>109.09769305260501</v>
      </c>
      <c r="M13" s="97">
        <f t="shared" si="6"/>
        <v>103.78326918830462</v>
      </c>
      <c r="N13" s="97">
        <f t="shared" si="7"/>
        <v>105.04451362098949</v>
      </c>
      <c r="O13" s="97">
        <v>110.32642342762402</v>
      </c>
      <c r="P13" s="97">
        <f t="shared" si="8"/>
        <v>111.44637918830462</v>
      </c>
      <c r="Q13" s="97">
        <f t="shared" si="9"/>
        <v>111.16617340359818</v>
      </c>
      <c r="R13" s="97">
        <v>111.55165667766201</v>
      </c>
      <c r="S13" s="97">
        <f t="shared" si="10"/>
        <v>127.57794918830463</v>
      </c>
      <c r="T13" s="97">
        <f t="shared" si="11"/>
        <v>122.74594318620689</v>
      </c>
    </row>
    <row r="14" spans="2:20" x14ac:dyDescent="0.35">
      <c r="B14" s="7" t="s">
        <v>157</v>
      </c>
      <c r="C14" s="97">
        <v>194.99007449787004</v>
      </c>
      <c r="D14" s="97">
        <f t="shared" si="0"/>
        <v>198.3298564834385</v>
      </c>
      <c r="E14" s="97">
        <f t="shared" si="1"/>
        <v>197.67268755548466</v>
      </c>
      <c r="F14" s="97">
        <v>178.62957601722513</v>
      </c>
      <c r="G14" s="97">
        <f t="shared" si="2"/>
        <v>191.6166502808191</v>
      </c>
      <c r="H14" s="97">
        <f t="shared" si="3"/>
        <v>187.7536400596436</v>
      </c>
      <c r="I14" s="97">
        <v>180.60998392683396</v>
      </c>
      <c r="J14" s="97">
        <f t="shared" si="4"/>
        <v>185.94253490907624</v>
      </c>
      <c r="K14" s="97">
        <f t="shared" si="5"/>
        <v>182.08618365104158</v>
      </c>
      <c r="L14" s="97">
        <v>182.60981974605156</v>
      </c>
      <c r="M14" s="97">
        <f t="shared" si="6"/>
        <v>183.82237573245186</v>
      </c>
      <c r="N14" s="97">
        <f t="shared" si="7"/>
        <v>183.23340069277211</v>
      </c>
      <c r="O14" s="97">
        <v>184.05919851535086</v>
      </c>
      <c r="P14" s="97">
        <f t="shared" si="8"/>
        <v>185.70712573245186</v>
      </c>
      <c r="Q14" s="97">
        <f t="shared" si="9"/>
        <v>183.79536069277211</v>
      </c>
      <c r="R14" s="97">
        <v>184.95812023473187</v>
      </c>
      <c r="S14" s="97">
        <f t="shared" si="10"/>
        <v>209.42200573245185</v>
      </c>
      <c r="T14" s="97">
        <f t="shared" si="11"/>
        <v>194.07213069277211</v>
      </c>
    </row>
    <row r="15" spans="2:20" x14ac:dyDescent="0.35">
      <c r="B15" s="7" t="s">
        <v>158</v>
      </c>
      <c r="C15" s="97">
        <v>415.26815157950182</v>
      </c>
      <c r="D15" s="97">
        <f t="shared" si="0"/>
        <v>446.09335345450734</v>
      </c>
      <c r="E15" s="97">
        <f t="shared" si="1"/>
        <v>439.86577744520571</v>
      </c>
      <c r="F15" s="97">
        <v>383.61925343406614</v>
      </c>
      <c r="G15" s="97">
        <f t="shared" si="2"/>
        <v>419.18221041661246</v>
      </c>
      <c r="H15" s="97">
        <f t="shared" si="3"/>
        <v>406.20343580275767</v>
      </c>
      <c r="I15" s="97">
        <v>389.54455038156624</v>
      </c>
      <c r="J15" s="97">
        <f t="shared" si="4"/>
        <v>428.89188493627154</v>
      </c>
      <c r="K15" s="97">
        <f t="shared" si="5"/>
        <v>415.74275409303567</v>
      </c>
      <c r="L15" s="97">
        <v>394.67692717656621</v>
      </c>
      <c r="M15" s="97">
        <f t="shared" si="6"/>
        <v>433.8667030142999</v>
      </c>
      <c r="N15" s="97">
        <f t="shared" si="7"/>
        <v>427.33692238331366</v>
      </c>
      <c r="O15" s="97">
        <v>398.46704639406624</v>
      </c>
      <c r="P15" s="97">
        <f t="shared" si="8"/>
        <v>444.94063301429986</v>
      </c>
      <c r="Q15" s="97">
        <f t="shared" si="9"/>
        <v>434.65563238331367</v>
      </c>
      <c r="R15" s="97">
        <v>400.91490803406629</v>
      </c>
      <c r="S15" s="97">
        <f t="shared" si="10"/>
        <v>492.97708301429981</v>
      </c>
      <c r="T15" s="97">
        <f t="shared" si="11"/>
        <v>456.46602238331366</v>
      </c>
    </row>
    <row r="16" spans="2:20" x14ac:dyDescent="0.35">
      <c r="B16" s="7" t="s">
        <v>159</v>
      </c>
      <c r="C16" s="97">
        <v>170.63505059765936</v>
      </c>
      <c r="D16" s="97">
        <f t="shared" si="0"/>
        <v>179.72114031623036</v>
      </c>
      <c r="E16" s="97">
        <f t="shared" si="1"/>
        <v>179.72115027760026</v>
      </c>
      <c r="F16" s="97">
        <v>160.34491118498269</v>
      </c>
      <c r="G16" s="97">
        <f t="shared" si="2"/>
        <v>169.82075676237963</v>
      </c>
      <c r="H16" s="97">
        <f t="shared" si="3"/>
        <v>169.82066077989103</v>
      </c>
      <c r="I16" s="97">
        <v>166.02147368498268</v>
      </c>
      <c r="J16" s="97">
        <f t="shared" si="4"/>
        <v>176.27547029242493</v>
      </c>
      <c r="K16" s="97">
        <f t="shared" si="5"/>
        <v>176.27528950272776</v>
      </c>
      <c r="L16" s="97">
        <v>169.51513868498273</v>
      </c>
      <c r="M16" s="97">
        <f t="shared" si="6"/>
        <v>178.2702170149247</v>
      </c>
      <c r="N16" s="97">
        <f t="shared" si="7"/>
        <v>178.27007124401302</v>
      </c>
      <c r="O16" s="97">
        <v>172.20347619068275</v>
      </c>
      <c r="P16" s="97">
        <f t="shared" si="8"/>
        <v>188.40481701492467</v>
      </c>
      <c r="Q16" s="97">
        <f t="shared" si="9"/>
        <v>187.93364124401302</v>
      </c>
      <c r="R16" s="97">
        <v>174.08648620208271</v>
      </c>
      <c r="S16" s="97">
        <f t="shared" si="10"/>
        <v>202.42042701492468</v>
      </c>
      <c r="T16" s="97">
        <f t="shared" si="11"/>
        <v>198.89606124401305</v>
      </c>
    </row>
    <row r="17" spans="2:38" x14ac:dyDescent="0.35">
      <c r="B17" s="7" t="s">
        <v>160</v>
      </c>
      <c r="C17" s="97">
        <v>57.296702301372001</v>
      </c>
      <c r="D17" s="97">
        <f t="shared" si="0"/>
        <v>58.539203615251509</v>
      </c>
      <c r="E17" s="97">
        <f t="shared" si="1"/>
        <v>58.537918979118693</v>
      </c>
      <c r="F17" s="97">
        <v>53.896012482524711</v>
      </c>
      <c r="G17" s="97">
        <f t="shared" si="2"/>
        <v>56.19327050108275</v>
      </c>
      <c r="H17" s="97">
        <f t="shared" si="3"/>
        <v>55.238570742611017</v>
      </c>
      <c r="I17" s="97">
        <v>55.929888973499715</v>
      </c>
      <c r="J17" s="97">
        <f t="shared" si="4"/>
        <v>55.127517916754769</v>
      </c>
      <c r="K17" s="97">
        <f t="shared" si="5"/>
        <v>54.158133565181672</v>
      </c>
      <c r="L17" s="97">
        <v>57.285806634149715</v>
      </c>
      <c r="M17" s="97">
        <f t="shared" si="6"/>
        <v>56.87221026438273</v>
      </c>
      <c r="N17" s="97">
        <f t="shared" si="7"/>
        <v>56.869355296532667</v>
      </c>
      <c r="O17" s="97">
        <v>58.160481416774708</v>
      </c>
      <c r="P17" s="97">
        <f t="shared" si="8"/>
        <v>59.20846026438273</v>
      </c>
      <c r="Q17" s="97">
        <f t="shared" si="9"/>
        <v>59.205085653632665</v>
      </c>
      <c r="R17" s="97">
        <v>58.553913321374722</v>
      </c>
      <c r="S17" s="97">
        <f t="shared" si="10"/>
        <v>64.037620264382724</v>
      </c>
      <c r="T17" s="97">
        <f t="shared" si="11"/>
        <v>61.238095653632676</v>
      </c>
    </row>
    <row r="18" spans="2:38" x14ac:dyDescent="0.35">
      <c r="B18" s="7" t="s">
        <v>161</v>
      </c>
      <c r="C18" s="97">
        <v>4.2089595925335912</v>
      </c>
      <c r="D18" s="97">
        <f>SUM(H59:H62)</f>
        <v>3.9644678809373954</v>
      </c>
      <c r="E18" s="97">
        <f>SUM(H37:H40)</f>
        <v>3.9641935287286456</v>
      </c>
      <c r="F18" s="97">
        <v>5.4227834478924066</v>
      </c>
      <c r="G18" s="97">
        <f>SUM(N59:N62)</f>
        <v>4.1476898092439889</v>
      </c>
      <c r="H18" s="97">
        <f>SUM(N37:N40)</f>
        <v>4.1465689870589886</v>
      </c>
      <c r="I18" s="97">
        <v>9.0888250370520076</v>
      </c>
      <c r="J18" s="97">
        <f>SUM(T59:T62)</f>
        <v>4.6264896784029874</v>
      </c>
      <c r="K18" s="97">
        <f>SUM(T37:T40)</f>
        <v>4.6245709131909871</v>
      </c>
      <c r="L18" s="97">
        <v>12.27821721537121</v>
      </c>
      <c r="M18" s="97">
        <f>SUM(Z59:Z62)</f>
        <v>6.2048852394559848</v>
      </c>
      <c r="N18" s="97">
        <f>SUM(Z37:Z40)</f>
        <v>5.949390319411985</v>
      </c>
      <c r="O18" s="97">
        <v>13.096917419524511</v>
      </c>
      <c r="P18" s="97">
        <f>SUM(AF59:AF62)</f>
        <v>9.7047452394559848</v>
      </c>
      <c r="Q18" s="97">
        <f>SUM(AF37:AF40)</f>
        <v>8.3877668894119868</v>
      </c>
      <c r="R18" s="97">
        <v>13.417705649511909</v>
      </c>
      <c r="S18" s="97">
        <f>SUM(AL59:AL62)</f>
        <v>14.830635239455987</v>
      </c>
      <c r="T18" s="97">
        <f>SUM(AL37:AL40)</f>
        <v>10.974546889411986</v>
      </c>
    </row>
    <row r="19" spans="2:38" x14ac:dyDescent="0.35">
      <c r="B19" s="12" t="s">
        <v>27</v>
      </c>
      <c r="C19" s="98">
        <f t="shared" ref="C19:T19" si="12">SUM(C5:C18)</f>
        <v>1650.6036212464592</v>
      </c>
      <c r="D19" s="98">
        <f t="shared" si="12"/>
        <v>1685.5472194821118</v>
      </c>
      <c r="E19" s="98">
        <f t="shared" si="12"/>
        <v>1680.0241972971326</v>
      </c>
      <c r="F19" s="98">
        <f t="shared" si="12"/>
        <v>1540.1546588560664</v>
      </c>
      <c r="G19" s="98">
        <f t="shared" si="12"/>
        <v>1600.6207565043619</v>
      </c>
      <c r="H19" s="98">
        <f t="shared" si="12"/>
        <v>1566.9719019007459</v>
      </c>
      <c r="I19" s="98">
        <f t="shared" si="12"/>
        <v>1586.4294147933099</v>
      </c>
      <c r="J19" s="98">
        <f t="shared" si="12"/>
        <v>1617.727970031541</v>
      </c>
      <c r="K19" s="98">
        <f t="shared" si="12"/>
        <v>1583.5294695800374</v>
      </c>
      <c r="L19" s="98">
        <f t="shared" si="12"/>
        <v>1620.5367432464966</v>
      </c>
      <c r="M19" s="98">
        <f t="shared" si="12"/>
        <v>1627.2786379044833</v>
      </c>
      <c r="N19" s="98">
        <f t="shared" si="12"/>
        <v>1618.7232229892434</v>
      </c>
      <c r="O19" s="98">
        <f t="shared" si="12"/>
        <v>1642.0227735617975</v>
      </c>
      <c r="P19" s="98">
        <f t="shared" si="12"/>
        <v>1703.6978479044833</v>
      </c>
      <c r="Q19" s="98">
        <f t="shared" si="12"/>
        <v>1675.168237662815</v>
      </c>
      <c r="R19" s="98">
        <f t="shared" si="12"/>
        <v>1656.500805739212</v>
      </c>
      <c r="S19" s="98">
        <f t="shared" si="12"/>
        <v>1930.0648279044829</v>
      </c>
      <c r="T19" s="98">
        <f t="shared" si="12"/>
        <v>1785.8008787395586</v>
      </c>
    </row>
    <row r="20" spans="2:38" x14ac:dyDescent="0.35">
      <c r="B20" s="103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</row>
    <row r="21" spans="2:38" x14ac:dyDescent="0.35">
      <c r="B21" s="3" t="s">
        <v>132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</row>
    <row r="22" spans="2:38" x14ac:dyDescent="0.35">
      <c r="B22" s="187" t="s">
        <v>170</v>
      </c>
      <c r="C22" s="187" t="s">
        <v>31</v>
      </c>
      <c r="D22" s="187"/>
      <c r="E22" s="187"/>
      <c r="F22" s="187"/>
      <c r="G22" s="187"/>
      <c r="H22" s="187"/>
      <c r="I22" s="187" t="s">
        <v>32</v>
      </c>
      <c r="J22" s="187"/>
      <c r="K22" s="187"/>
      <c r="L22" s="187"/>
      <c r="M22" s="187"/>
      <c r="N22" s="187"/>
      <c r="O22" s="187" t="s">
        <v>33</v>
      </c>
      <c r="P22" s="187"/>
      <c r="Q22" s="187"/>
      <c r="R22" s="187"/>
      <c r="S22" s="187"/>
      <c r="T22" s="187"/>
      <c r="U22" s="187" t="s">
        <v>34</v>
      </c>
      <c r="V22" s="187"/>
      <c r="W22" s="187"/>
      <c r="X22" s="187"/>
      <c r="Y22" s="187"/>
      <c r="Z22" s="187"/>
      <c r="AA22" s="187" t="s">
        <v>35</v>
      </c>
      <c r="AB22" s="187"/>
      <c r="AC22" s="187"/>
      <c r="AD22" s="187"/>
      <c r="AE22" s="187"/>
      <c r="AF22" s="187"/>
      <c r="AG22" s="187" t="s">
        <v>127</v>
      </c>
      <c r="AH22" s="187"/>
      <c r="AI22" s="187"/>
      <c r="AJ22" s="187"/>
      <c r="AK22" s="187"/>
      <c r="AL22" s="187"/>
    </row>
    <row r="23" spans="2:38" ht="30" x14ac:dyDescent="0.35">
      <c r="B23" s="187"/>
      <c r="C23" s="96" t="s">
        <v>197</v>
      </c>
      <c r="D23" s="96" t="s">
        <v>129</v>
      </c>
      <c r="E23" s="96" t="s">
        <v>114</v>
      </c>
      <c r="F23" s="96" t="s">
        <v>198</v>
      </c>
      <c r="G23" s="6" t="s">
        <v>199</v>
      </c>
      <c r="H23" s="6" t="s">
        <v>25</v>
      </c>
      <c r="I23" s="96" t="s">
        <v>197</v>
      </c>
      <c r="J23" s="96" t="s">
        <v>129</v>
      </c>
      <c r="K23" s="96" t="s">
        <v>114</v>
      </c>
      <c r="L23" s="96" t="s">
        <v>198</v>
      </c>
      <c r="M23" s="6" t="s">
        <v>199</v>
      </c>
      <c r="N23" s="6" t="s">
        <v>25</v>
      </c>
      <c r="O23" s="96" t="s">
        <v>197</v>
      </c>
      <c r="P23" s="96" t="s">
        <v>129</v>
      </c>
      <c r="Q23" s="96" t="s">
        <v>114</v>
      </c>
      <c r="R23" s="96" t="s">
        <v>198</v>
      </c>
      <c r="S23" s="6" t="s">
        <v>199</v>
      </c>
      <c r="T23" s="6" t="s">
        <v>25</v>
      </c>
      <c r="U23" s="96" t="s">
        <v>197</v>
      </c>
      <c r="V23" s="96" t="s">
        <v>129</v>
      </c>
      <c r="W23" s="96" t="s">
        <v>114</v>
      </c>
      <c r="X23" s="96" t="s">
        <v>198</v>
      </c>
      <c r="Y23" s="96" t="s">
        <v>199</v>
      </c>
      <c r="Z23" s="6" t="s">
        <v>25</v>
      </c>
      <c r="AA23" s="96" t="s">
        <v>197</v>
      </c>
      <c r="AB23" s="96" t="s">
        <v>129</v>
      </c>
      <c r="AC23" s="96" t="s">
        <v>114</v>
      </c>
      <c r="AD23" s="96" t="s">
        <v>198</v>
      </c>
      <c r="AE23" s="96" t="s">
        <v>199</v>
      </c>
      <c r="AF23" s="6" t="s">
        <v>25</v>
      </c>
      <c r="AG23" s="96" t="s">
        <v>197</v>
      </c>
      <c r="AH23" s="96" t="s">
        <v>129</v>
      </c>
      <c r="AI23" s="96" t="s">
        <v>114</v>
      </c>
      <c r="AJ23" s="96" t="s">
        <v>198</v>
      </c>
      <c r="AK23" s="96" t="s">
        <v>199</v>
      </c>
      <c r="AL23" s="6" t="s">
        <v>25</v>
      </c>
    </row>
    <row r="24" spans="2:38" x14ac:dyDescent="0.35">
      <c r="B24" s="7" t="s">
        <v>43</v>
      </c>
      <c r="C24" s="9">
        <v>93.141411845295607</v>
      </c>
      <c r="D24" s="9">
        <f>D46</f>
        <v>-0.87937486301062873</v>
      </c>
      <c r="E24" s="9">
        <f>MoF!H5</f>
        <v>1.113</v>
      </c>
      <c r="F24" s="9">
        <f>SUM(C24:E24)</f>
        <v>93.375036982284982</v>
      </c>
      <c r="G24" s="105">
        <v>0.155</v>
      </c>
      <c r="H24" s="9">
        <f>G24*AVERAGE(C24,F24)</f>
        <v>14.455024784137494</v>
      </c>
      <c r="I24" s="9">
        <f>F24</f>
        <v>93.375036982284982</v>
      </c>
      <c r="J24" s="9">
        <f>J46</f>
        <v>0</v>
      </c>
      <c r="K24" s="9">
        <f>MoF!R5</f>
        <v>1.851</v>
      </c>
      <c r="L24" s="9">
        <f>SUM(I24:K24)</f>
        <v>95.226036982284981</v>
      </c>
      <c r="M24" s="105">
        <f>'Rate of RoE'!Q5</f>
        <v>0.15000000000000002</v>
      </c>
      <c r="N24" s="9">
        <f>M24*AVERAGE(I24,L24)</f>
        <v>14.145080547342749</v>
      </c>
      <c r="O24" s="9">
        <f>L24</f>
        <v>95.226036982284981</v>
      </c>
      <c r="P24" s="9">
        <f>P46</f>
        <v>-3.1012469504111479E-2</v>
      </c>
      <c r="Q24" s="9">
        <f>MoF!AB5</f>
        <v>0.54</v>
      </c>
      <c r="R24" s="9">
        <f>SUM(O24:Q24)</f>
        <v>95.735024512780882</v>
      </c>
      <c r="S24" s="105">
        <f>'Rate of RoE'!Q26</f>
        <v>0.14000000000000001</v>
      </c>
      <c r="T24" s="9">
        <f>S24*AVERAGE(O24,R24)</f>
        <v>13.367274304654611</v>
      </c>
      <c r="U24" s="9">
        <f>R24</f>
        <v>95.735024512780882</v>
      </c>
      <c r="V24" s="9">
        <v>0</v>
      </c>
      <c r="W24" s="9">
        <f>MoF!AL5</f>
        <v>0</v>
      </c>
      <c r="X24" s="9">
        <f>SUM(U24:W24)</f>
        <v>95.735024512780882</v>
      </c>
      <c r="Y24" s="105">
        <v>0.14000000000000001</v>
      </c>
      <c r="Z24" s="9">
        <f>Y24*AVERAGE(U24,X24)</f>
        <v>13.402903431789325</v>
      </c>
      <c r="AA24" s="9">
        <f>X24</f>
        <v>95.735024512780882</v>
      </c>
      <c r="AB24" s="9">
        <v>0</v>
      </c>
      <c r="AC24" s="9">
        <f>MoF!AV5</f>
        <v>1.6620000000000004</v>
      </c>
      <c r="AD24" s="9">
        <f>SUM(AA24:AC24)</f>
        <v>97.397024512780888</v>
      </c>
      <c r="AE24" s="105">
        <v>0.14000000000000001</v>
      </c>
      <c r="AF24" s="9">
        <f>AE24*AVERAGE(AA24,AD24)</f>
        <v>13.519243431789326</v>
      </c>
      <c r="AG24" s="9">
        <f>AD24</f>
        <v>97.397024512780888</v>
      </c>
      <c r="AH24" s="9">
        <v>0</v>
      </c>
      <c r="AI24" s="9">
        <f>MoF!BF5</f>
        <v>0</v>
      </c>
      <c r="AJ24" s="9">
        <f>SUM(AG24:AI24)</f>
        <v>97.397024512780888</v>
      </c>
      <c r="AK24" s="105">
        <v>0.14000000000000001</v>
      </c>
      <c r="AL24" s="9">
        <f>AK24*AVERAGE(AG24,AJ24)</f>
        <v>13.635583431789325</v>
      </c>
    </row>
    <row r="25" spans="2:38" x14ac:dyDescent="0.35">
      <c r="B25" s="7" t="s">
        <v>150</v>
      </c>
      <c r="C25" s="9">
        <v>768.33313402611088</v>
      </c>
      <c r="D25" s="9">
        <f t="shared" ref="D25:D40" si="13">D47</f>
        <v>0</v>
      </c>
      <c r="E25" s="9">
        <f>MoF!H6</f>
        <v>16.235568607200001</v>
      </c>
      <c r="F25" s="9">
        <f t="shared" ref="F25:F40" si="14">SUM(C25:E25)</f>
        <v>784.56870263331086</v>
      </c>
      <c r="G25" s="105">
        <v>0.155</v>
      </c>
      <c r="H25" s="9">
        <f t="shared" ref="H25:H40" si="15">G25*AVERAGE(C25,F25)</f>
        <v>120.34989234110519</v>
      </c>
      <c r="I25" s="9">
        <f t="shared" ref="I25:I40" si="16">F25</f>
        <v>784.56870263331086</v>
      </c>
      <c r="J25" s="9">
        <f t="shared" ref="J25:J40" si="17">J47</f>
        <v>0</v>
      </c>
      <c r="K25" s="9">
        <f>MoF!R6</f>
        <v>17.967457857300005</v>
      </c>
      <c r="L25" s="9">
        <f t="shared" ref="L25:L40" si="18">SUM(I25:K25)</f>
        <v>802.53616049061088</v>
      </c>
      <c r="M25" s="105">
        <f>'Rate of RoE'!Q6</f>
        <v>0.14000000000000001</v>
      </c>
      <c r="N25" s="9">
        <f t="shared" ref="N25:N40" si="19">M25*AVERAGE(I25,L25)</f>
        <v>111.09734041867453</v>
      </c>
      <c r="O25" s="9">
        <f t="shared" ref="O25:O40" si="20">L25</f>
        <v>802.53616049061088</v>
      </c>
      <c r="P25" s="9">
        <f t="shared" ref="P25:P40" si="21">P47</f>
        <v>-0.73941161166426161</v>
      </c>
      <c r="Q25" s="9">
        <f>MoF!AB6</f>
        <v>109.43975109180002</v>
      </c>
      <c r="R25" s="9">
        <f t="shared" ref="R25:R40" si="22">SUM(O25:Q25)</f>
        <v>911.23649997074654</v>
      </c>
      <c r="S25" s="105">
        <f>'Rate of RoE'!Q27</f>
        <v>0.14000000000000001</v>
      </c>
      <c r="T25" s="9">
        <f t="shared" ref="T25:T40" si="23">S25*AVERAGE(O25,R25)</f>
        <v>119.96408623229503</v>
      </c>
      <c r="U25" s="9">
        <f t="shared" ref="U25:U40" si="24">R25</f>
        <v>911.23649997074654</v>
      </c>
      <c r="V25" s="9">
        <v>0</v>
      </c>
      <c r="W25" s="9">
        <f>MoF!AL6</f>
        <v>59.750577936900015</v>
      </c>
      <c r="X25" s="9">
        <f t="shared" ref="X25:X40" si="25">SUM(U25:W25)</f>
        <v>970.98707790764661</v>
      </c>
      <c r="Y25" s="105">
        <v>0.14000000000000001</v>
      </c>
      <c r="Z25" s="9">
        <f t="shared" ref="Z25:Z40" si="26">Y25*AVERAGE(U25,X25)</f>
        <v>131.75565045148753</v>
      </c>
      <c r="AA25" s="9">
        <f t="shared" ref="AA25:AA40" si="27">X25</f>
        <v>970.98707790764661</v>
      </c>
      <c r="AB25" s="9">
        <v>0</v>
      </c>
      <c r="AC25" s="9">
        <f>MoF!AV6</f>
        <v>44.835443279999993</v>
      </c>
      <c r="AD25" s="9">
        <f t="shared" ref="AD25:AD40" si="28">SUM(AA25:AC25)</f>
        <v>1015.8225211876465</v>
      </c>
      <c r="AE25" s="105">
        <v>0.14000000000000001</v>
      </c>
      <c r="AF25" s="9">
        <f t="shared" ref="AF25:AF40" si="29">AE25*AVERAGE(AA25,AD25)</f>
        <v>139.07667193667052</v>
      </c>
      <c r="AG25" s="9">
        <f t="shared" ref="AG25:AG40" si="30">AD25</f>
        <v>1015.8225211876465</v>
      </c>
      <c r="AH25" s="9">
        <v>0</v>
      </c>
      <c r="AI25" s="9">
        <f>MoF!BF6</f>
        <v>276.12872672370008</v>
      </c>
      <c r="AJ25" s="9">
        <f t="shared" ref="AJ25:AJ40" si="31">SUM(AG25:AI25)</f>
        <v>1291.9512479113466</v>
      </c>
      <c r="AK25" s="105">
        <v>0.14000000000000001</v>
      </c>
      <c r="AL25" s="9">
        <f t="shared" ref="AL25:AL40" si="32">AK25*AVERAGE(AG25,AJ25)</f>
        <v>161.54416383692956</v>
      </c>
    </row>
    <row r="26" spans="2:38" x14ac:dyDescent="0.35">
      <c r="B26" s="7" t="s">
        <v>151</v>
      </c>
      <c r="C26" s="9">
        <v>972.49083188269151</v>
      </c>
      <c r="D26" s="9">
        <f t="shared" si="13"/>
        <v>-0.11893090646910165</v>
      </c>
      <c r="E26" s="9">
        <f>MoF!H7</f>
        <v>3.6030000000000015</v>
      </c>
      <c r="F26" s="9">
        <f t="shared" si="14"/>
        <v>975.97490097622233</v>
      </c>
      <c r="G26" s="105">
        <v>0.155</v>
      </c>
      <c r="H26" s="9">
        <f t="shared" si="15"/>
        <v>151.00609429656581</v>
      </c>
      <c r="I26" s="9">
        <f t="shared" si="16"/>
        <v>975.97490097622233</v>
      </c>
      <c r="J26" s="9">
        <f t="shared" si="17"/>
        <v>-1.2464778889529549</v>
      </c>
      <c r="K26" s="9">
        <f>MoF!R7</f>
        <v>4.1310000000000002</v>
      </c>
      <c r="L26" s="9">
        <f t="shared" si="18"/>
        <v>978.85942308726931</v>
      </c>
      <c r="M26" s="105">
        <f>'Rate of RoE'!Q7</f>
        <v>0.14000000000000001</v>
      </c>
      <c r="N26" s="9">
        <f t="shared" si="19"/>
        <v>136.83840268444445</v>
      </c>
      <c r="O26" s="9">
        <f t="shared" si="20"/>
        <v>978.85942308726931</v>
      </c>
      <c r="P26" s="9">
        <f t="shared" si="21"/>
        <v>-5.5266453705702965</v>
      </c>
      <c r="Q26" s="9">
        <f>MoF!AB7</f>
        <v>9.9720000000000013</v>
      </c>
      <c r="R26" s="9">
        <f t="shared" si="22"/>
        <v>983.30477771669894</v>
      </c>
      <c r="S26" s="105">
        <f>'Rate of RoE'!Q28</f>
        <v>0.14000000000000001</v>
      </c>
      <c r="T26" s="9">
        <f t="shared" si="23"/>
        <v>137.3514940562778</v>
      </c>
      <c r="U26" s="9">
        <f t="shared" si="24"/>
        <v>983.30477771669894</v>
      </c>
      <c r="V26" s="9">
        <v>0</v>
      </c>
      <c r="W26" s="9">
        <f>MoF!AL7</f>
        <v>13.731000000000002</v>
      </c>
      <c r="X26" s="9">
        <f t="shared" si="25"/>
        <v>997.03577771669893</v>
      </c>
      <c r="Y26" s="105">
        <v>0.14000000000000001</v>
      </c>
      <c r="Z26" s="9">
        <f t="shared" si="26"/>
        <v>138.62383888033787</v>
      </c>
      <c r="AA26" s="9">
        <f t="shared" si="27"/>
        <v>997.03577771669893</v>
      </c>
      <c r="AB26" s="9">
        <v>0</v>
      </c>
      <c r="AC26" s="9">
        <f>MoF!AV7</f>
        <v>126.339</v>
      </c>
      <c r="AD26" s="9">
        <f t="shared" si="28"/>
        <v>1123.3747777166989</v>
      </c>
      <c r="AE26" s="105">
        <v>0.14000000000000001</v>
      </c>
      <c r="AF26" s="9">
        <f t="shared" si="29"/>
        <v>148.42873888033785</v>
      </c>
      <c r="AG26" s="9">
        <f t="shared" si="30"/>
        <v>1123.3747777166989</v>
      </c>
      <c r="AH26" s="9">
        <v>0</v>
      </c>
      <c r="AI26" s="9">
        <f>MoF!BF7</f>
        <v>30.303848483942446</v>
      </c>
      <c r="AJ26" s="9">
        <f t="shared" si="31"/>
        <v>1153.6786262006412</v>
      </c>
      <c r="AK26" s="105">
        <v>0.14000000000000001</v>
      </c>
      <c r="AL26" s="9">
        <f t="shared" si="32"/>
        <v>159.3937382742138</v>
      </c>
    </row>
    <row r="27" spans="2:38" x14ac:dyDescent="0.35">
      <c r="B27" s="7" t="s">
        <v>44</v>
      </c>
      <c r="C27" s="9">
        <v>237.41783987862317</v>
      </c>
      <c r="D27" s="9">
        <f t="shared" si="13"/>
        <v>0</v>
      </c>
      <c r="E27" s="9">
        <f>MoF!H8</f>
        <v>12.186000000000003</v>
      </c>
      <c r="F27" s="9">
        <f t="shared" si="14"/>
        <v>249.60383987862318</v>
      </c>
      <c r="G27" s="105">
        <v>0.155</v>
      </c>
      <c r="H27" s="9">
        <f t="shared" si="15"/>
        <v>37.744180181186593</v>
      </c>
      <c r="I27" s="9">
        <f t="shared" si="16"/>
        <v>249.60383987862318</v>
      </c>
      <c r="J27" s="9">
        <f t="shared" si="17"/>
        <v>-5.8840054673303881E-2</v>
      </c>
      <c r="K27" s="9">
        <f>MoF!R8</f>
        <v>32.349404162700012</v>
      </c>
      <c r="L27" s="9">
        <f t="shared" si="18"/>
        <v>281.89440398664988</v>
      </c>
      <c r="M27" s="105">
        <f>'Rate of RoE'!Q8</f>
        <v>0.14500000000000002</v>
      </c>
      <c r="N27" s="9">
        <f t="shared" si="19"/>
        <v>38.533622680232298</v>
      </c>
      <c r="O27" s="9">
        <f t="shared" si="20"/>
        <v>281.89440398664988</v>
      </c>
      <c r="P27" s="9">
        <f t="shared" si="21"/>
        <v>-25.830812927533557</v>
      </c>
      <c r="Q27" s="9">
        <f>MoF!AB8</f>
        <v>2.601</v>
      </c>
      <c r="R27" s="9">
        <f t="shared" si="22"/>
        <v>258.66459105911633</v>
      </c>
      <c r="S27" s="105">
        <f>'Rate of RoE'!Q29</f>
        <v>0.14000000000000001</v>
      </c>
      <c r="T27" s="9">
        <f t="shared" si="23"/>
        <v>37.839129653203635</v>
      </c>
      <c r="U27" s="9">
        <f t="shared" si="24"/>
        <v>258.66459105911633</v>
      </c>
      <c r="V27" s="9">
        <v>0</v>
      </c>
      <c r="W27" s="9">
        <f>MoF!AL8</f>
        <v>14.480730000000001</v>
      </c>
      <c r="X27" s="9">
        <f t="shared" si="25"/>
        <v>273.14532105911633</v>
      </c>
      <c r="Y27" s="105">
        <v>0.14000000000000001</v>
      </c>
      <c r="Z27" s="9">
        <f t="shared" si="26"/>
        <v>37.226693848276291</v>
      </c>
      <c r="AA27" s="9">
        <f t="shared" si="27"/>
        <v>273.14532105911633</v>
      </c>
      <c r="AB27" s="9">
        <v>0</v>
      </c>
      <c r="AC27" s="9">
        <f>MoF!AV8</f>
        <v>26.643000000000001</v>
      </c>
      <c r="AD27" s="9">
        <f t="shared" si="28"/>
        <v>299.78832105911636</v>
      </c>
      <c r="AE27" s="105">
        <v>0.14000000000000001</v>
      </c>
      <c r="AF27" s="9">
        <f t="shared" si="29"/>
        <v>40.105354948276293</v>
      </c>
      <c r="AG27" s="9">
        <f t="shared" si="30"/>
        <v>299.78832105911636</v>
      </c>
      <c r="AH27" s="9">
        <v>0</v>
      </c>
      <c r="AI27" s="9">
        <f>MoF!BF8</f>
        <v>0</v>
      </c>
      <c r="AJ27" s="9">
        <f t="shared" si="31"/>
        <v>299.78832105911636</v>
      </c>
      <c r="AK27" s="105">
        <v>0.14000000000000001</v>
      </c>
      <c r="AL27" s="9">
        <f t="shared" si="32"/>
        <v>41.970364948276291</v>
      </c>
    </row>
    <row r="28" spans="2:38" x14ac:dyDescent="0.35">
      <c r="B28" s="7" t="s">
        <v>152</v>
      </c>
      <c r="C28" s="9">
        <v>237.30151977242519</v>
      </c>
      <c r="D28" s="9">
        <f t="shared" si="13"/>
        <v>-2.0618933256846685</v>
      </c>
      <c r="E28" s="9">
        <f>MoF!H9</f>
        <v>10.341826634700002</v>
      </c>
      <c r="F28" s="9">
        <f t="shared" si="14"/>
        <v>245.58145308144051</v>
      </c>
      <c r="G28" s="105">
        <v>0.155</v>
      </c>
      <c r="H28" s="9">
        <f t="shared" si="15"/>
        <v>37.423430396174588</v>
      </c>
      <c r="I28" s="9">
        <f t="shared" si="16"/>
        <v>245.58145308144051</v>
      </c>
      <c r="J28" s="9">
        <f t="shared" si="17"/>
        <v>0</v>
      </c>
      <c r="K28" s="9">
        <f>MoF!R9</f>
        <v>1.1291752542000002</v>
      </c>
      <c r="L28" s="9">
        <f t="shared" si="18"/>
        <v>246.71062833564051</v>
      </c>
      <c r="M28" s="105">
        <f>'Rate of RoE'!Q9</f>
        <v>0.15000000000000002</v>
      </c>
      <c r="N28" s="9">
        <f t="shared" si="19"/>
        <v>36.921906106281085</v>
      </c>
      <c r="O28" s="9">
        <f t="shared" si="20"/>
        <v>246.71062833564051</v>
      </c>
      <c r="P28" s="9">
        <f t="shared" si="21"/>
        <v>0</v>
      </c>
      <c r="Q28" s="9">
        <f>MoF!AB9</f>
        <v>3.0113813193000007</v>
      </c>
      <c r="R28" s="9">
        <f t="shared" si="22"/>
        <v>249.72200965494051</v>
      </c>
      <c r="S28" s="105">
        <f>'Rate of RoE'!Q30</f>
        <v>0.14750000000000002</v>
      </c>
      <c r="T28" s="9">
        <f t="shared" si="23"/>
        <v>36.611907051805353</v>
      </c>
      <c r="U28" s="9">
        <f t="shared" si="24"/>
        <v>249.72200965494051</v>
      </c>
      <c r="V28" s="9">
        <v>0</v>
      </c>
      <c r="W28" s="9">
        <f>MoF!AL9</f>
        <v>1.8570000000000002</v>
      </c>
      <c r="X28" s="9">
        <f t="shared" si="25"/>
        <v>251.57900965494051</v>
      </c>
      <c r="Y28" s="105">
        <v>0.14000000000000001</v>
      </c>
      <c r="Z28" s="9">
        <f t="shared" si="26"/>
        <v>35.091071351691674</v>
      </c>
      <c r="AA28" s="9">
        <f t="shared" si="27"/>
        <v>251.57900965494051</v>
      </c>
      <c r="AB28" s="9">
        <v>0</v>
      </c>
      <c r="AC28" s="9">
        <f>MoF!AV9</f>
        <v>8.9280000000000008</v>
      </c>
      <c r="AD28" s="9">
        <f t="shared" si="28"/>
        <v>260.50700965494053</v>
      </c>
      <c r="AE28" s="105">
        <v>0.14000000000000001</v>
      </c>
      <c r="AF28" s="9">
        <f t="shared" si="29"/>
        <v>35.846021351691675</v>
      </c>
      <c r="AG28" s="9">
        <f t="shared" si="30"/>
        <v>260.50700965494053</v>
      </c>
      <c r="AH28" s="9">
        <v>0</v>
      </c>
      <c r="AI28" s="9">
        <f>MoF!BF9</f>
        <v>3.2160000000000002</v>
      </c>
      <c r="AJ28" s="9">
        <f t="shared" si="31"/>
        <v>263.72300965494054</v>
      </c>
      <c r="AK28" s="105">
        <v>0.14000000000000001</v>
      </c>
      <c r="AL28" s="9">
        <f t="shared" si="32"/>
        <v>36.696101351691681</v>
      </c>
    </row>
    <row r="29" spans="2:38" x14ac:dyDescent="0.35">
      <c r="B29" s="7" t="s">
        <v>154</v>
      </c>
      <c r="C29" s="9">
        <v>294.89002084176343</v>
      </c>
      <c r="D29" s="9">
        <f t="shared" si="13"/>
        <v>-0.13849007631310523</v>
      </c>
      <c r="E29" s="9">
        <f>MoF!H10</f>
        <v>0.2622954381</v>
      </c>
      <c r="F29" s="9">
        <f t="shared" si="14"/>
        <v>295.01382620355031</v>
      </c>
      <c r="G29" s="105">
        <v>0.155</v>
      </c>
      <c r="H29" s="9">
        <f t="shared" si="15"/>
        <v>45.717548146011822</v>
      </c>
      <c r="I29" s="9">
        <f t="shared" si="16"/>
        <v>295.01382620355031</v>
      </c>
      <c r="J29" s="9">
        <f t="shared" si="17"/>
        <v>-5.0446420781776729E-3</v>
      </c>
      <c r="K29" s="9">
        <f>MoF!R10</f>
        <v>2.4548929199999998</v>
      </c>
      <c r="L29" s="9">
        <f t="shared" si="18"/>
        <v>297.46367448147214</v>
      </c>
      <c r="M29" s="105">
        <f>'Rate of RoE'!Q10</f>
        <v>0.14000000000000001</v>
      </c>
      <c r="N29" s="9">
        <f t="shared" si="19"/>
        <v>41.473425047951579</v>
      </c>
      <c r="O29" s="9">
        <f t="shared" si="20"/>
        <v>297.46367448147214</v>
      </c>
      <c r="P29" s="9">
        <f t="shared" si="21"/>
        <v>0</v>
      </c>
      <c r="Q29" s="9">
        <f>MoF!AB10</f>
        <v>4.6265248200000011E-2</v>
      </c>
      <c r="R29" s="9">
        <f t="shared" si="22"/>
        <v>297.50993972967211</v>
      </c>
      <c r="S29" s="105">
        <f>'Rate of RoE'!Q31</f>
        <v>0.14500000000000002</v>
      </c>
      <c r="T29" s="9">
        <f t="shared" si="23"/>
        <v>43.13558703030796</v>
      </c>
      <c r="U29" s="9">
        <f t="shared" si="24"/>
        <v>297.50993972967211</v>
      </c>
      <c r="V29" s="9">
        <v>0</v>
      </c>
      <c r="W29" s="9">
        <f>MoF!AL10</f>
        <v>10.365000000000002</v>
      </c>
      <c r="X29" s="9">
        <f t="shared" si="25"/>
        <v>307.87493972967212</v>
      </c>
      <c r="Y29" s="105">
        <v>0.14000000000000001</v>
      </c>
      <c r="Z29" s="9">
        <f t="shared" si="26"/>
        <v>42.376941562154101</v>
      </c>
      <c r="AA29" s="9">
        <f t="shared" si="27"/>
        <v>307.87493972967212</v>
      </c>
      <c r="AB29" s="9">
        <v>0</v>
      </c>
      <c r="AC29" s="9">
        <f>MoF!AV10</f>
        <v>34.215000000000003</v>
      </c>
      <c r="AD29" s="9">
        <f t="shared" si="28"/>
        <v>342.0899397296721</v>
      </c>
      <c r="AE29" s="105">
        <v>0.14000000000000001</v>
      </c>
      <c r="AF29" s="9">
        <f t="shared" si="29"/>
        <v>45.497541562154105</v>
      </c>
      <c r="AG29" s="9">
        <f t="shared" si="30"/>
        <v>342.0899397296721</v>
      </c>
      <c r="AH29" s="9">
        <v>0</v>
      </c>
      <c r="AI29" s="9">
        <f>MoF!BF10</f>
        <v>2.5500000000000007</v>
      </c>
      <c r="AJ29" s="9">
        <f t="shared" si="31"/>
        <v>344.63993972967211</v>
      </c>
      <c r="AK29" s="105">
        <v>0.14000000000000001</v>
      </c>
      <c r="AL29" s="9">
        <f t="shared" si="32"/>
        <v>48.071091562154095</v>
      </c>
    </row>
    <row r="30" spans="2:38" x14ac:dyDescent="0.35">
      <c r="B30" s="7" t="s">
        <v>155</v>
      </c>
      <c r="C30" s="9">
        <v>920.63711930344903</v>
      </c>
      <c r="D30" s="9">
        <f t="shared" si="13"/>
        <v>-1.072878379874975</v>
      </c>
      <c r="E30" s="9">
        <f>MoF!H11</f>
        <v>2.8559999999999999</v>
      </c>
      <c r="F30" s="9">
        <f t="shared" si="14"/>
        <v>922.42024092357406</v>
      </c>
      <c r="G30" s="105">
        <v>0.155</v>
      </c>
      <c r="H30" s="9">
        <f t="shared" si="15"/>
        <v>142.83694541759428</v>
      </c>
      <c r="I30" s="9">
        <f t="shared" si="16"/>
        <v>922.42024092357406</v>
      </c>
      <c r="J30" s="9">
        <f t="shared" si="17"/>
        <v>0</v>
      </c>
      <c r="K30" s="9">
        <f>MoF!R11</f>
        <v>2.9820000000000011</v>
      </c>
      <c r="L30" s="9">
        <f t="shared" si="18"/>
        <v>925.40224092357403</v>
      </c>
      <c r="M30" s="105">
        <f>'Rate of RoE'!Q11</f>
        <v>0.14000000000000001</v>
      </c>
      <c r="N30" s="9">
        <f t="shared" si="19"/>
        <v>129.34757372930036</v>
      </c>
      <c r="O30" s="9">
        <f t="shared" si="20"/>
        <v>925.40224092357403</v>
      </c>
      <c r="P30" s="9">
        <f t="shared" si="21"/>
        <v>0</v>
      </c>
      <c r="Q30" s="9">
        <f>MoF!AB11</f>
        <v>6.8134078799999997</v>
      </c>
      <c r="R30" s="9">
        <f t="shared" si="22"/>
        <v>932.21564880357403</v>
      </c>
      <c r="S30" s="105">
        <f>'Rate of RoE'!Q32</f>
        <v>0.14000000000000001</v>
      </c>
      <c r="T30" s="9">
        <f t="shared" si="23"/>
        <v>130.03325228090037</v>
      </c>
      <c r="U30" s="9">
        <f t="shared" si="24"/>
        <v>932.21564880357403</v>
      </c>
      <c r="V30" s="9">
        <v>0</v>
      </c>
      <c r="W30" s="9">
        <f>MoF!AL11</f>
        <v>24.76879112400001</v>
      </c>
      <c r="X30" s="9">
        <f t="shared" si="25"/>
        <v>956.98443992757404</v>
      </c>
      <c r="Y30" s="105">
        <v>0.14000000000000001</v>
      </c>
      <c r="Z30" s="9">
        <f t="shared" si="26"/>
        <v>132.24400621118039</v>
      </c>
      <c r="AA30" s="9">
        <f t="shared" si="27"/>
        <v>956.98443992757404</v>
      </c>
      <c r="AB30" s="9">
        <v>0</v>
      </c>
      <c r="AC30" s="9">
        <f>MoF!AV11</f>
        <v>13.485000000000003</v>
      </c>
      <c r="AD30" s="9">
        <f t="shared" si="28"/>
        <v>970.46943992757406</v>
      </c>
      <c r="AE30" s="105">
        <v>0.14000000000000001</v>
      </c>
      <c r="AF30" s="9">
        <f t="shared" si="29"/>
        <v>134.92177158986038</v>
      </c>
      <c r="AG30" s="9">
        <f t="shared" si="30"/>
        <v>970.46943992757406</v>
      </c>
      <c r="AH30" s="9">
        <v>0</v>
      </c>
      <c r="AI30" s="9">
        <f>MoF!BF11</f>
        <v>114.49800000000005</v>
      </c>
      <c r="AJ30" s="9">
        <f t="shared" si="31"/>
        <v>1084.9674399275741</v>
      </c>
      <c r="AK30" s="105">
        <v>0.14000000000000001</v>
      </c>
      <c r="AL30" s="9">
        <f t="shared" si="32"/>
        <v>143.88058158986038</v>
      </c>
    </row>
    <row r="31" spans="2:38" x14ac:dyDescent="0.35">
      <c r="B31" s="7" t="s">
        <v>156</v>
      </c>
      <c r="C31" s="9">
        <v>891.33718306942808</v>
      </c>
      <c r="D31" s="9">
        <f t="shared" si="13"/>
        <v>-0.76837576373070215</v>
      </c>
      <c r="E31" s="9">
        <f>MoF!H12</f>
        <v>16.091534744400001</v>
      </c>
      <c r="F31" s="9">
        <f t="shared" si="14"/>
        <v>906.66034205009737</v>
      </c>
      <c r="G31" s="105">
        <v>0.155</v>
      </c>
      <c r="H31" s="9">
        <f t="shared" si="15"/>
        <v>139.34480819676324</v>
      </c>
      <c r="I31" s="9">
        <f t="shared" si="16"/>
        <v>906.66034205009737</v>
      </c>
      <c r="J31" s="9">
        <f t="shared" si="17"/>
        <v>0</v>
      </c>
      <c r="K31" s="9">
        <f>MoF!R12</f>
        <v>7.9123032261000006</v>
      </c>
      <c r="L31" s="9">
        <f t="shared" si="18"/>
        <v>914.57264527619736</v>
      </c>
      <c r="M31" s="105">
        <f>'Rate of RoE'!Q12</f>
        <v>0.14750000000000002</v>
      </c>
      <c r="N31" s="9">
        <f t="shared" si="19"/>
        <v>134.31593281531426</v>
      </c>
      <c r="O31" s="9">
        <f t="shared" si="20"/>
        <v>914.57264527619736</v>
      </c>
      <c r="P31" s="9">
        <f t="shared" si="21"/>
        <v>-0.22397602410259274</v>
      </c>
      <c r="Q31" s="9">
        <f>MoF!AB12</f>
        <v>17.862000000000002</v>
      </c>
      <c r="R31" s="9">
        <f t="shared" si="22"/>
        <v>932.2106692520947</v>
      </c>
      <c r="S31" s="105">
        <f>'Rate of RoE'!Q33</f>
        <v>0.14000000000000001</v>
      </c>
      <c r="T31" s="9">
        <f t="shared" si="23"/>
        <v>129.27483201698047</v>
      </c>
      <c r="U31" s="9">
        <f t="shared" si="24"/>
        <v>932.2106692520947</v>
      </c>
      <c r="V31" s="9">
        <v>0</v>
      </c>
      <c r="W31" s="9">
        <f>MoF!AL12</f>
        <v>11.271000000000004</v>
      </c>
      <c r="X31" s="9">
        <f t="shared" si="25"/>
        <v>943.48166925209466</v>
      </c>
      <c r="Y31" s="105">
        <v>0.14000000000000001</v>
      </c>
      <c r="Z31" s="9">
        <f t="shared" si="26"/>
        <v>131.29846369529326</v>
      </c>
      <c r="AA31" s="9">
        <f t="shared" si="27"/>
        <v>943.48166925209466</v>
      </c>
      <c r="AB31" s="9">
        <v>0</v>
      </c>
      <c r="AC31" s="9">
        <f>MoF!AV12</f>
        <v>7.740000000000002</v>
      </c>
      <c r="AD31" s="9">
        <f t="shared" si="28"/>
        <v>951.22166925209467</v>
      </c>
      <c r="AE31" s="105">
        <v>0.14000000000000001</v>
      </c>
      <c r="AF31" s="9">
        <f t="shared" si="29"/>
        <v>132.62923369529327</v>
      </c>
      <c r="AG31" s="9">
        <f t="shared" si="30"/>
        <v>951.22166925209467</v>
      </c>
      <c r="AH31" s="9">
        <v>0</v>
      </c>
      <c r="AI31" s="9">
        <f>MoF!BF12</f>
        <v>43.506000000000014</v>
      </c>
      <c r="AJ31" s="9">
        <f t="shared" si="31"/>
        <v>994.72766925209464</v>
      </c>
      <c r="AK31" s="105">
        <v>0.14000000000000001</v>
      </c>
      <c r="AL31" s="9">
        <f t="shared" si="32"/>
        <v>136.21645369529327</v>
      </c>
    </row>
    <row r="32" spans="2:38" x14ac:dyDescent="0.35">
      <c r="B32" s="7" t="s">
        <v>8</v>
      </c>
      <c r="C32" s="9">
        <f>708.699298590036+'Review Order_180 of 2020'!E8</f>
        <v>717.77747259003604</v>
      </c>
      <c r="D32" s="9">
        <f t="shared" si="13"/>
        <v>0</v>
      </c>
      <c r="E32" s="9">
        <f>MoF!H13</f>
        <v>1.665</v>
      </c>
      <c r="F32" s="9">
        <f t="shared" si="14"/>
        <v>719.442472590036</v>
      </c>
      <c r="G32" s="105">
        <v>0.155</v>
      </c>
      <c r="H32" s="9">
        <f t="shared" si="15"/>
        <v>111.38454575145558</v>
      </c>
      <c r="I32" s="9">
        <f t="shared" si="16"/>
        <v>719.442472590036</v>
      </c>
      <c r="J32" s="9">
        <f t="shared" si="17"/>
        <v>-1.0276380480412559</v>
      </c>
      <c r="K32" s="9">
        <f>MoF!R13</f>
        <v>6.9390000000000001</v>
      </c>
      <c r="L32" s="9">
        <f t="shared" si="18"/>
        <v>725.35383454199473</v>
      </c>
      <c r="M32" s="105">
        <f>'Rate of RoE'!Q13</f>
        <v>0.14000000000000001</v>
      </c>
      <c r="N32" s="9">
        <f t="shared" si="19"/>
        <v>101.13574149924216</v>
      </c>
      <c r="O32" s="9">
        <f t="shared" si="20"/>
        <v>725.35383454199473</v>
      </c>
      <c r="P32" s="9">
        <f t="shared" si="21"/>
        <v>-1.0008801063555701</v>
      </c>
      <c r="Q32" s="9">
        <f>MoF!AB13</f>
        <v>22.650000000000006</v>
      </c>
      <c r="R32" s="9">
        <f t="shared" si="22"/>
        <v>747.00295443563914</v>
      </c>
      <c r="S32" s="105">
        <f>'Rate of RoE'!Q34</f>
        <v>0.14000000000000001</v>
      </c>
      <c r="T32" s="9">
        <f t="shared" si="23"/>
        <v>103.06497522843438</v>
      </c>
      <c r="U32" s="9">
        <f t="shared" si="24"/>
        <v>747.00295443563914</v>
      </c>
      <c r="V32" s="9">
        <v>0</v>
      </c>
      <c r="W32" s="9">
        <f>MoF!AL13</f>
        <v>6.6300000000000008</v>
      </c>
      <c r="X32" s="9">
        <f t="shared" si="25"/>
        <v>753.63295443563914</v>
      </c>
      <c r="Y32" s="105">
        <v>0.14000000000000001</v>
      </c>
      <c r="Z32" s="9">
        <f t="shared" si="26"/>
        <v>105.04451362098949</v>
      </c>
      <c r="AA32" s="9">
        <f t="shared" si="27"/>
        <v>753.63295443563914</v>
      </c>
      <c r="AB32" s="9">
        <v>0</v>
      </c>
      <c r="AC32" s="9">
        <f>MoF!AV13</f>
        <v>80.822282608695673</v>
      </c>
      <c r="AD32" s="9">
        <f t="shared" si="28"/>
        <v>834.45523704433481</v>
      </c>
      <c r="AE32" s="105">
        <v>0.14000000000000001</v>
      </c>
      <c r="AF32" s="9">
        <f t="shared" si="29"/>
        <v>111.16617340359818</v>
      </c>
      <c r="AG32" s="9">
        <f t="shared" si="30"/>
        <v>834.45523704433481</v>
      </c>
      <c r="AH32" s="9">
        <v>0</v>
      </c>
      <c r="AI32" s="9">
        <f>MoF!BF13</f>
        <v>84.60299999999998</v>
      </c>
      <c r="AJ32" s="9">
        <f t="shared" si="31"/>
        <v>919.05823704433476</v>
      </c>
      <c r="AK32" s="105">
        <v>0.14000000000000001</v>
      </c>
      <c r="AL32" s="9">
        <f t="shared" si="32"/>
        <v>122.74594318620689</v>
      </c>
    </row>
    <row r="33" spans="2:38" x14ac:dyDescent="0.35">
      <c r="B33" s="7" t="s">
        <v>157</v>
      </c>
      <c r="C33" s="9">
        <f>1247.07891828266+'BTPS_4-5 LD Impact'!H27</f>
        <v>1256.1616332300691</v>
      </c>
      <c r="D33" s="9">
        <f t="shared" si="13"/>
        <v>-1.0118904179521848</v>
      </c>
      <c r="E33" s="9">
        <f>MoF!H14</f>
        <v>39.303947254390408</v>
      </c>
      <c r="F33" s="9">
        <f t="shared" si="14"/>
        <v>1294.4536900665073</v>
      </c>
      <c r="G33" s="105">
        <v>0.155</v>
      </c>
      <c r="H33" s="9">
        <f t="shared" si="15"/>
        <v>197.67268755548466</v>
      </c>
      <c r="I33" s="9">
        <f t="shared" si="16"/>
        <v>1294.4536900665073</v>
      </c>
      <c r="J33" s="9">
        <f t="shared" si="17"/>
        <v>0</v>
      </c>
      <c r="K33" s="9">
        <f>MoF!R14</f>
        <v>0.79800000000000026</v>
      </c>
      <c r="L33" s="9">
        <f t="shared" si="18"/>
        <v>1295.2516900665073</v>
      </c>
      <c r="M33" s="105">
        <f>'Rate of RoE'!Q14</f>
        <v>0.14500000000000002</v>
      </c>
      <c r="N33" s="9">
        <f t="shared" si="19"/>
        <v>187.7536400596436</v>
      </c>
      <c r="O33" s="9">
        <f t="shared" si="20"/>
        <v>1295.2516900665073</v>
      </c>
      <c r="P33" s="9">
        <f t="shared" si="21"/>
        <v>-0.7351851181351382</v>
      </c>
      <c r="Q33" s="9">
        <f>MoF!AB14</f>
        <v>11.463000000000001</v>
      </c>
      <c r="R33" s="9">
        <f t="shared" si="22"/>
        <v>1305.9795049483721</v>
      </c>
      <c r="S33" s="105">
        <f>'Rate of RoE'!Q35</f>
        <v>0.14000000000000001</v>
      </c>
      <c r="T33" s="9">
        <f t="shared" si="23"/>
        <v>182.08618365104158</v>
      </c>
      <c r="U33" s="9">
        <f t="shared" si="24"/>
        <v>1305.9795049483721</v>
      </c>
      <c r="V33" s="9">
        <v>0</v>
      </c>
      <c r="W33" s="9">
        <f>MoF!AL14</f>
        <v>5.6610000000000014</v>
      </c>
      <c r="X33" s="9">
        <f t="shared" si="25"/>
        <v>1311.6405049483722</v>
      </c>
      <c r="Y33" s="105">
        <v>0.14000000000000001</v>
      </c>
      <c r="Z33" s="9">
        <f t="shared" si="26"/>
        <v>183.23340069277211</v>
      </c>
      <c r="AA33" s="9">
        <f t="shared" si="27"/>
        <v>1311.6405049483722</v>
      </c>
      <c r="AB33" s="9">
        <v>0</v>
      </c>
      <c r="AC33" s="9">
        <f>MoF!AV14</f>
        <v>2.3670000000000009</v>
      </c>
      <c r="AD33" s="9">
        <f t="shared" si="28"/>
        <v>1314.0075049483721</v>
      </c>
      <c r="AE33" s="105">
        <v>0.14000000000000001</v>
      </c>
      <c r="AF33" s="9">
        <f t="shared" si="29"/>
        <v>183.79536069277211</v>
      </c>
      <c r="AG33" s="9">
        <f t="shared" si="30"/>
        <v>1314.0075049483721</v>
      </c>
      <c r="AH33" s="9">
        <v>0</v>
      </c>
      <c r="AI33" s="9">
        <f>MoF!BF14</f>
        <v>144.44400000000002</v>
      </c>
      <c r="AJ33" s="9">
        <f t="shared" si="31"/>
        <v>1458.4515049483721</v>
      </c>
      <c r="AK33" s="105">
        <v>0.14000000000000001</v>
      </c>
      <c r="AL33" s="9">
        <f t="shared" si="32"/>
        <v>194.07213069277211</v>
      </c>
    </row>
    <row r="34" spans="2:38" x14ac:dyDescent="0.35">
      <c r="B34" s="7" t="s">
        <v>158</v>
      </c>
      <c r="C34" s="9">
        <f>2642.15483802904+'KRD_8-10 LD impact'!E37</f>
        <v>2805.5948380290401</v>
      </c>
      <c r="D34" s="9">
        <f t="shared" si="13"/>
        <v>0</v>
      </c>
      <c r="E34" s="9">
        <f>MoF!H15</f>
        <v>64.497774847800002</v>
      </c>
      <c r="F34" s="9">
        <f t="shared" si="14"/>
        <v>2870.0926128768401</v>
      </c>
      <c r="G34" s="105">
        <v>0.155</v>
      </c>
      <c r="H34" s="9">
        <f t="shared" si="15"/>
        <v>439.86577744520571</v>
      </c>
      <c r="I34" s="9">
        <f t="shared" si="16"/>
        <v>2870.0926128768401</v>
      </c>
      <c r="J34" s="9">
        <f t="shared" si="17"/>
        <v>0</v>
      </c>
      <c r="K34" s="9">
        <f>MoF!R15</f>
        <v>62.721000000000004</v>
      </c>
      <c r="L34" s="9">
        <f t="shared" si="18"/>
        <v>2932.8136128768401</v>
      </c>
      <c r="M34" s="105">
        <f>'Rate of RoE'!Q15</f>
        <v>0.14000000000000001</v>
      </c>
      <c r="N34" s="9">
        <f t="shared" si="19"/>
        <v>406.20343580275767</v>
      </c>
      <c r="O34" s="9">
        <f t="shared" si="20"/>
        <v>2932.8136128768401</v>
      </c>
      <c r="P34" s="9">
        <f t="shared" si="21"/>
        <v>0</v>
      </c>
      <c r="Q34" s="9">
        <f>MoF!AB15</f>
        <v>73.554975575400022</v>
      </c>
      <c r="R34" s="9">
        <f t="shared" si="22"/>
        <v>3006.3685884522401</v>
      </c>
      <c r="S34" s="105">
        <f>'Rate of RoE'!Q36</f>
        <v>0.14000000000000001</v>
      </c>
      <c r="T34" s="9">
        <f t="shared" si="23"/>
        <v>415.74275409303567</v>
      </c>
      <c r="U34" s="9">
        <f t="shared" si="24"/>
        <v>3006.3685884522401</v>
      </c>
      <c r="V34" s="9">
        <v>0</v>
      </c>
      <c r="W34" s="9">
        <f>MoF!AL15</f>
        <v>92.076000000000022</v>
      </c>
      <c r="X34" s="9">
        <f t="shared" si="25"/>
        <v>3098.4445884522402</v>
      </c>
      <c r="Y34" s="105">
        <v>0.14000000000000001</v>
      </c>
      <c r="Z34" s="9">
        <f t="shared" si="26"/>
        <v>427.33692238331366</v>
      </c>
      <c r="AA34" s="9">
        <f t="shared" si="27"/>
        <v>3098.4445884522402</v>
      </c>
      <c r="AB34" s="9">
        <v>0</v>
      </c>
      <c r="AC34" s="9">
        <f>MoF!AV15</f>
        <v>12.477000000000004</v>
      </c>
      <c r="AD34" s="9">
        <f t="shared" si="28"/>
        <v>3110.92158845224</v>
      </c>
      <c r="AE34" s="105">
        <v>0.14000000000000001</v>
      </c>
      <c r="AF34" s="9">
        <f t="shared" si="29"/>
        <v>434.65563238331367</v>
      </c>
      <c r="AG34" s="9">
        <f t="shared" si="30"/>
        <v>3110.92158845224</v>
      </c>
      <c r="AH34" s="9">
        <v>0</v>
      </c>
      <c r="AI34" s="9">
        <f>MoF!BF15</f>
        <v>299.10000000000002</v>
      </c>
      <c r="AJ34" s="9">
        <f t="shared" si="31"/>
        <v>3410.0215884522399</v>
      </c>
      <c r="AK34" s="105">
        <v>0.14000000000000001</v>
      </c>
      <c r="AL34" s="9">
        <f t="shared" si="32"/>
        <v>456.46602238331366</v>
      </c>
    </row>
    <row r="35" spans="2:38" x14ac:dyDescent="0.35">
      <c r="B35" s="7" t="s">
        <v>159</v>
      </c>
      <c r="C35" s="9">
        <f>1084.49129417845+'CPR8-9 UDL impact'!E37</f>
        <v>1158.41729417845</v>
      </c>
      <c r="D35" s="9">
        <f t="shared" si="13"/>
        <v>0</v>
      </c>
      <c r="E35" s="9">
        <f>MoF!H16</f>
        <v>2.1479958701999999</v>
      </c>
      <c r="F35" s="9">
        <f t="shared" si="14"/>
        <v>1160.56529004865</v>
      </c>
      <c r="G35" s="105">
        <v>0.155</v>
      </c>
      <c r="H35" s="9">
        <f t="shared" si="15"/>
        <v>179.72115027760026</v>
      </c>
      <c r="I35" s="9">
        <f t="shared" si="16"/>
        <v>1160.56529004865</v>
      </c>
      <c r="J35" s="9">
        <f t="shared" si="17"/>
        <v>0</v>
      </c>
      <c r="K35" s="9">
        <f>MoF!R16</f>
        <v>21.223361694300003</v>
      </c>
      <c r="L35" s="9">
        <f t="shared" si="18"/>
        <v>1181.7886517429499</v>
      </c>
      <c r="M35" s="105">
        <f>'Rate of RoE'!Q16</f>
        <v>0.14500000000000002</v>
      </c>
      <c r="N35" s="9">
        <f t="shared" si="19"/>
        <v>169.82066077989103</v>
      </c>
      <c r="O35" s="9">
        <f t="shared" si="20"/>
        <v>1181.7886517429499</v>
      </c>
      <c r="P35" s="9">
        <f t="shared" si="21"/>
        <v>0</v>
      </c>
      <c r="Q35" s="9">
        <f>MoF!AB16</f>
        <v>67.806000000000012</v>
      </c>
      <c r="R35" s="9">
        <f t="shared" si="22"/>
        <v>1249.59465174295</v>
      </c>
      <c r="S35" s="105">
        <f>'Rate of RoE'!Q37</f>
        <v>0.14500000000000002</v>
      </c>
      <c r="T35" s="9">
        <f t="shared" si="23"/>
        <v>176.27528950272776</v>
      </c>
      <c r="U35" s="9">
        <f t="shared" si="24"/>
        <v>1249.59465174295</v>
      </c>
      <c r="V35" s="9">
        <v>0</v>
      </c>
      <c r="W35" s="9">
        <f>MoF!AL16</f>
        <v>47.525999999999996</v>
      </c>
      <c r="X35" s="9">
        <f t="shared" si="25"/>
        <v>1297.12065174295</v>
      </c>
      <c r="Y35" s="105">
        <v>0.14000000000000001</v>
      </c>
      <c r="Z35" s="9">
        <f t="shared" si="26"/>
        <v>178.27007124401302</v>
      </c>
      <c r="AA35" s="9">
        <f t="shared" si="27"/>
        <v>1297.12065174295</v>
      </c>
      <c r="AB35" s="9">
        <v>0</v>
      </c>
      <c r="AC35" s="9">
        <f>MoF!AV16</f>
        <v>90.525000000000006</v>
      </c>
      <c r="AD35" s="9">
        <f t="shared" si="28"/>
        <v>1387.6456517429501</v>
      </c>
      <c r="AE35" s="105">
        <v>0.14000000000000001</v>
      </c>
      <c r="AF35" s="9">
        <f t="shared" si="29"/>
        <v>187.93364124401302</v>
      </c>
      <c r="AG35" s="9">
        <f t="shared" si="30"/>
        <v>1387.6456517429501</v>
      </c>
      <c r="AH35" s="9">
        <v>0</v>
      </c>
      <c r="AI35" s="9">
        <f>MoF!BF16</f>
        <v>66.081000000000017</v>
      </c>
      <c r="AJ35" s="9">
        <f t="shared" si="31"/>
        <v>1453.7266517429503</v>
      </c>
      <c r="AK35" s="105">
        <v>0.14000000000000001</v>
      </c>
      <c r="AL35" s="9">
        <f t="shared" si="32"/>
        <v>198.89606124401305</v>
      </c>
    </row>
    <row r="36" spans="2:38" x14ac:dyDescent="0.35">
      <c r="B36" s="7" t="s">
        <v>160</v>
      </c>
      <c r="C36" s="9">
        <f>364.025896174819+'Parli8 UDL impact'!D37</f>
        <v>376.442896174819</v>
      </c>
      <c r="D36" s="9">
        <f t="shared" si="13"/>
        <v>0</v>
      </c>
      <c r="E36" s="9">
        <f>MoF!H17</f>
        <v>2.4421944777000002</v>
      </c>
      <c r="F36" s="9">
        <f t="shared" si="14"/>
        <v>378.88509065251901</v>
      </c>
      <c r="G36" s="105">
        <v>0.155</v>
      </c>
      <c r="H36" s="9">
        <f t="shared" si="15"/>
        <v>58.537918979118693</v>
      </c>
      <c r="I36" s="9">
        <f t="shared" si="16"/>
        <v>378.88509065251901</v>
      </c>
      <c r="J36" s="9">
        <f t="shared" si="17"/>
        <v>0</v>
      </c>
      <c r="K36" s="9">
        <f>MoF!R17</f>
        <v>4.1411392827000011</v>
      </c>
      <c r="L36" s="9">
        <f t="shared" si="18"/>
        <v>383.02622993521902</v>
      </c>
      <c r="M36" s="105">
        <f>'Rate of RoE'!Q17</f>
        <v>0.14500000000000002</v>
      </c>
      <c r="N36" s="9">
        <f t="shared" si="19"/>
        <v>55.238570742611017</v>
      </c>
      <c r="O36" s="9">
        <f t="shared" si="20"/>
        <v>383.02622993521902</v>
      </c>
      <c r="P36" s="9">
        <f t="shared" si="21"/>
        <v>0</v>
      </c>
      <c r="Q36" s="9">
        <f>MoF!AB17</f>
        <v>7.6351624893000007</v>
      </c>
      <c r="R36" s="9">
        <f t="shared" si="22"/>
        <v>390.66139242451902</v>
      </c>
      <c r="S36" s="105">
        <f>'Rate of RoE'!Q38</f>
        <v>0.14000000000000001</v>
      </c>
      <c r="T36" s="9">
        <f t="shared" si="23"/>
        <v>54.158133565181672</v>
      </c>
      <c r="U36" s="9">
        <f t="shared" si="24"/>
        <v>390.66139242451902</v>
      </c>
      <c r="V36" s="9">
        <v>0</v>
      </c>
      <c r="W36" s="9">
        <f>MoF!AL17</f>
        <v>31.096576530000007</v>
      </c>
      <c r="X36" s="9">
        <f t="shared" si="25"/>
        <v>421.75796895451901</v>
      </c>
      <c r="Y36" s="105">
        <v>0.14000000000000001</v>
      </c>
      <c r="Z36" s="9">
        <f t="shared" si="26"/>
        <v>56.869355296532667</v>
      </c>
      <c r="AA36" s="9">
        <f t="shared" si="27"/>
        <v>421.75796895451901</v>
      </c>
      <c r="AB36" s="9">
        <v>0</v>
      </c>
      <c r="AC36" s="9">
        <f>MoF!AV17</f>
        <v>2.2710000000000008</v>
      </c>
      <c r="AD36" s="9">
        <f t="shared" si="28"/>
        <v>424.02896895451903</v>
      </c>
      <c r="AE36" s="105">
        <v>0.14000000000000001</v>
      </c>
      <c r="AF36" s="9">
        <f t="shared" si="29"/>
        <v>59.205085653632665</v>
      </c>
      <c r="AG36" s="9">
        <f t="shared" si="30"/>
        <v>424.02896895451903</v>
      </c>
      <c r="AH36" s="9">
        <v>0</v>
      </c>
      <c r="AI36" s="9">
        <f>MoF!BF17</f>
        <v>26.772000000000006</v>
      </c>
      <c r="AJ36" s="9">
        <f t="shared" si="31"/>
        <v>450.80096895451902</v>
      </c>
      <c r="AK36" s="105">
        <v>0.14000000000000001</v>
      </c>
      <c r="AL36" s="9">
        <f t="shared" si="32"/>
        <v>61.238095653632676</v>
      </c>
    </row>
    <row r="37" spans="2:38" x14ac:dyDescent="0.35">
      <c r="B37" s="7" t="s">
        <v>186</v>
      </c>
      <c r="C37" s="9">
        <v>16.112398390961772</v>
      </c>
      <c r="D37" s="9">
        <f t="shared" si="13"/>
        <v>-3.3034713831549212E-2</v>
      </c>
      <c r="E37" s="9">
        <f>MoF!H18</f>
        <v>2.3562918600000007</v>
      </c>
      <c r="F37" s="9">
        <f t="shared" si="14"/>
        <v>18.435655537130224</v>
      </c>
      <c r="G37" s="105">
        <v>0.155</v>
      </c>
      <c r="H37" s="9">
        <f t="shared" si="15"/>
        <v>2.6774741794271297</v>
      </c>
      <c r="I37" s="9">
        <f t="shared" si="16"/>
        <v>18.435655537130224</v>
      </c>
      <c r="J37" s="9">
        <f t="shared" si="17"/>
        <v>0</v>
      </c>
      <c r="K37" s="9">
        <f>MoF!R18</f>
        <v>3.2177114999999992</v>
      </c>
      <c r="L37" s="9">
        <f t="shared" si="18"/>
        <v>21.653367037130224</v>
      </c>
      <c r="M37" s="105">
        <f>'Rate of RoE'!Q18</f>
        <v>0.14000000000000001</v>
      </c>
      <c r="N37" s="9">
        <f t="shared" si="19"/>
        <v>2.8062315801982316</v>
      </c>
      <c r="O37" s="9">
        <f t="shared" si="20"/>
        <v>21.653367037130224</v>
      </c>
      <c r="P37" s="9">
        <f t="shared" si="21"/>
        <v>-7.3872025571648896E-3</v>
      </c>
      <c r="Q37" s="9">
        <f>MoF!AB18</f>
        <v>1.88469015</v>
      </c>
      <c r="R37" s="9">
        <f t="shared" si="22"/>
        <v>23.530669984573059</v>
      </c>
      <c r="S37" s="105">
        <f>'Rate of RoE'!Q39</f>
        <v>0.14000000000000001</v>
      </c>
      <c r="T37" s="9">
        <f t="shared" si="23"/>
        <v>3.1628825915192302</v>
      </c>
      <c r="U37" s="9">
        <f t="shared" si="24"/>
        <v>23.530669984573059</v>
      </c>
      <c r="V37" s="9">
        <v>0</v>
      </c>
      <c r="W37" s="9">
        <f>MoF!AL18</f>
        <v>11.385608999999999</v>
      </c>
      <c r="X37" s="9">
        <f t="shared" si="25"/>
        <v>34.916278984573054</v>
      </c>
      <c r="Y37" s="105">
        <v>0.14000000000000001</v>
      </c>
      <c r="Z37" s="9">
        <f t="shared" si="26"/>
        <v>4.0912864278402283</v>
      </c>
      <c r="AA37" s="9">
        <f t="shared" si="27"/>
        <v>34.916278984573054</v>
      </c>
      <c r="AB37" s="9">
        <v>0</v>
      </c>
      <c r="AC37" s="9">
        <f>MoF!AV18</f>
        <v>10.481999999999999</v>
      </c>
      <c r="AD37" s="9">
        <f t="shared" si="28"/>
        <v>45.398278984573054</v>
      </c>
      <c r="AE37" s="105">
        <v>0.14000000000000001</v>
      </c>
      <c r="AF37" s="9">
        <f t="shared" si="29"/>
        <v>5.6220190578402285</v>
      </c>
      <c r="AG37" s="9">
        <f t="shared" si="30"/>
        <v>45.398278984573054</v>
      </c>
      <c r="AH37" s="9">
        <v>0</v>
      </c>
      <c r="AI37" s="9">
        <f>MoF!BF18</f>
        <v>13.187999999999999</v>
      </c>
      <c r="AJ37" s="9">
        <f t="shared" si="31"/>
        <v>58.586278984573056</v>
      </c>
      <c r="AK37" s="105">
        <v>0.14000000000000001</v>
      </c>
      <c r="AL37" s="9">
        <f t="shared" si="32"/>
        <v>7.2789190578402287</v>
      </c>
    </row>
    <row r="38" spans="2:38" x14ac:dyDescent="0.35">
      <c r="B38" s="7" t="s">
        <v>187</v>
      </c>
      <c r="C38" s="9">
        <v>0.14856169847805453</v>
      </c>
      <c r="D38" s="9">
        <f t="shared" si="13"/>
        <v>0</v>
      </c>
      <c r="E38" s="9">
        <f>MoF!H19</f>
        <v>1.2000000000000004E-2</v>
      </c>
      <c r="F38" s="9">
        <f t="shared" si="14"/>
        <v>0.16056169847805454</v>
      </c>
      <c r="G38" s="105">
        <v>0.155</v>
      </c>
      <c r="H38" s="9">
        <f t="shared" si="15"/>
        <v>2.3957063264098452E-2</v>
      </c>
      <c r="I38" s="9">
        <f t="shared" si="16"/>
        <v>0.16056169847805454</v>
      </c>
      <c r="J38" s="9">
        <f t="shared" si="17"/>
        <v>0</v>
      </c>
      <c r="K38" s="9">
        <f>MoF!R19</f>
        <v>0.27300000000000002</v>
      </c>
      <c r="L38" s="9">
        <f t="shared" si="18"/>
        <v>0.43356169847805459</v>
      </c>
      <c r="M38" s="105">
        <f>'Rate of RoE'!Q19</f>
        <v>0.14000000000000001</v>
      </c>
      <c r="N38" s="9">
        <f t="shared" si="19"/>
        <v>4.1588637786927646E-2</v>
      </c>
      <c r="O38" s="9">
        <f t="shared" si="20"/>
        <v>0.43356169847805459</v>
      </c>
      <c r="P38" s="9">
        <f t="shared" si="21"/>
        <v>0</v>
      </c>
      <c r="Q38" s="9">
        <f>MoF!AB19</f>
        <v>7.5000000000000011E-2</v>
      </c>
      <c r="R38" s="9">
        <f t="shared" si="22"/>
        <v>0.50856169847805455</v>
      </c>
      <c r="S38" s="105">
        <f>'Rate of RoE'!Q40</f>
        <v>0.14000000000000001</v>
      </c>
      <c r="T38" s="9">
        <f t="shared" si="23"/>
        <v>6.5948637786927652E-2</v>
      </c>
      <c r="U38" s="9">
        <f t="shared" si="24"/>
        <v>0.50856169847805455</v>
      </c>
      <c r="V38" s="9">
        <v>0</v>
      </c>
      <c r="W38" s="9">
        <f>MoF!AL19</f>
        <v>0.57300000000000018</v>
      </c>
      <c r="X38" s="9">
        <f t="shared" si="25"/>
        <v>1.0815616984780547</v>
      </c>
      <c r="Y38" s="105">
        <v>0.14000000000000001</v>
      </c>
      <c r="Z38" s="9">
        <f t="shared" si="26"/>
        <v>0.11130863778692766</v>
      </c>
      <c r="AA38" s="9">
        <f t="shared" si="27"/>
        <v>1.0815616984780547</v>
      </c>
      <c r="AB38" s="9">
        <v>0</v>
      </c>
      <c r="AC38" s="9">
        <f>MoF!AV19</f>
        <v>0</v>
      </c>
      <c r="AD38" s="9">
        <f t="shared" si="28"/>
        <v>1.0815616984780547</v>
      </c>
      <c r="AE38" s="105">
        <v>0.14000000000000001</v>
      </c>
      <c r="AF38" s="9">
        <f t="shared" si="29"/>
        <v>0.15141863778692768</v>
      </c>
      <c r="AG38" s="9">
        <f t="shared" si="30"/>
        <v>1.0815616984780547</v>
      </c>
      <c r="AH38" s="9">
        <v>0</v>
      </c>
      <c r="AI38" s="9">
        <f>MoF!BF19</f>
        <v>0</v>
      </c>
      <c r="AJ38" s="9">
        <f t="shared" si="31"/>
        <v>1.0815616984780547</v>
      </c>
      <c r="AK38" s="105">
        <v>0.14000000000000001</v>
      </c>
      <c r="AL38" s="9">
        <f t="shared" si="32"/>
        <v>0.15141863778692768</v>
      </c>
    </row>
    <row r="39" spans="2:38" x14ac:dyDescent="0.35">
      <c r="B39" s="7" t="s">
        <v>188</v>
      </c>
      <c r="C39" s="9">
        <v>3.0841705560165598</v>
      </c>
      <c r="D39" s="9">
        <f t="shared" si="13"/>
        <v>0</v>
      </c>
      <c r="E39" s="9">
        <f>MoF!H20</f>
        <v>3.0000000000000009E-3</v>
      </c>
      <c r="F39" s="9">
        <f t="shared" si="14"/>
        <v>3.0871705560165599</v>
      </c>
      <c r="G39" s="105">
        <v>0.155</v>
      </c>
      <c r="H39" s="9">
        <f t="shared" si="15"/>
        <v>0.47827893618256678</v>
      </c>
      <c r="I39" s="9">
        <f t="shared" si="16"/>
        <v>3.0871705560165599</v>
      </c>
      <c r="J39" s="9">
        <f t="shared" si="17"/>
        <v>0</v>
      </c>
      <c r="K39" s="9">
        <f>MoF!R20</f>
        <v>3.9846927300000001E-2</v>
      </c>
      <c r="L39" s="9">
        <f t="shared" si="18"/>
        <v>3.12701748331656</v>
      </c>
      <c r="M39" s="105">
        <f>'Rate of RoE'!Q20</f>
        <v>0.14000000000000001</v>
      </c>
      <c r="N39" s="9">
        <f t="shared" si="19"/>
        <v>0.43499316275331845</v>
      </c>
      <c r="O39" s="9">
        <f t="shared" si="20"/>
        <v>3.12701748331656</v>
      </c>
      <c r="P39" s="9">
        <f t="shared" si="21"/>
        <v>0</v>
      </c>
      <c r="Q39" s="9">
        <f>MoF!AB20</f>
        <v>1.7375699999999999E-3</v>
      </c>
      <c r="R39" s="9">
        <f t="shared" si="22"/>
        <v>3.12875505331656</v>
      </c>
      <c r="S39" s="105">
        <f>'Rate of RoE'!Q41</f>
        <v>0.14000000000000001</v>
      </c>
      <c r="T39" s="9">
        <f t="shared" si="23"/>
        <v>0.43790407756431848</v>
      </c>
      <c r="U39" s="9">
        <f t="shared" si="24"/>
        <v>3.12875505331656</v>
      </c>
      <c r="V39" s="9">
        <v>0</v>
      </c>
      <c r="W39" s="9">
        <f>MoF!AL20</f>
        <v>0.7350000000000001</v>
      </c>
      <c r="X39" s="9">
        <f t="shared" si="25"/>
        <v>3.8637550533165603</v>
      </c>
      <c r="Y39" s="105">
        <v>0.14000000000000001</v>
      </c>
      <c r="Z39" s="9">
        <f t="shared" si="26"/>
        <v>0.48947570746431845</v>
      </c>
      <c r="AA39" s="9">
        <f t="shared" si="27"/>
        <v>3.8637550533165603</v>
      </c>
      <c r="AB39" s="9">
        <v>0</v>
      </c>
      <c r="AC39" s="9">
        <f>MoF!AV20</f>
        <v>0</v>
      </c>
      <c r="AD39" s="9">
        <f t="shared" si="28"/>
        <v>3.8637550533165603</v>
      </c>
      <c r="AE39" s="105">
        <v>0.14000000000000001</v>
      </c>
      <c r="AF39" s="9">
        <f t="shared" si="29"/>
        <v>0.54092570746431845</v>
      </c>
      <c r="AG39" s="9">
        <f t="shared" si="30"/>
        <v>3.8637550533165603</v>
      </c>
      <c r="AH39" s="9">
        <v>0</v>
      </c>
      <c r="AI39" s="9">
        <f>MoF!BF20</f>
        <v>0</v>
      </c>
      <c r="AJ39" s="9">
        <f t="shared" si="31"/>
        <v>3.8637550533165603</v>
      </c>
      <c r="AK39" s="105">
        <v>0.14000000000000001</v>
      </c>
      <c r="AL39" s="9">
        <f t="shared" si="32"/>
        <v>0.54092570746431845</v>
      </c>
    </row>
    <row r="40" spans="2:38" x14ac:dyDescent="0.35">
      <c r="B40" s="7" t="s">
        <v>189</v>
      </c>
      <c r="C40" s="9">
        <v>4.3366829022893612</v>
      </c>
      <c r="D40" s="9">
        <f t="shared" si="13"/>
        <v>0</v>
      </c>
      <c r="E40" s="9">
        <f>MoF!H21</f>
        <v>1.4490000000000003</v>
      </c>
      <c r="F40" s="9">
        <f t="shared" si="14"/>
        <v>5.785682902289361</v>
      </c>
      <c r="G40" s="105">
        <v>0.155</v>
      </c>
      <c r="H40" s="9">
        <f t="shared" si="15"/>
        <v>0.78448334985485091</v>
      </c>
      <c r="I40" s="9">
        <f t="shared" si="16"/>
        <v>5.785682902289361</v>
      </c>
      <c r="J40" s="9">
        <f t="shared" si="17"/>
        <v>0</v>
      </c>
      <c r="K40" s="9">
        <f>MoF!R21</f>
        <v>0.76800000000000024</v>
      </c>
      <c r="L40" s="9">
        <f t="shared" si="18"/>
        <v>6.5536829022893617</v>
      </c>
      <c r="M40" s="105">
        <f>'Rate of RoE'!Q21</f>
        <v>0.14000000000000001</v>
      </c>
      <c r="N40" s="9">
        <f t="shared" si="19"/>
        <v>0.86375560632051063</v>
      </c>
      <c r="O40" s="9">
        <f t="shared" si="20"/>
        <v>6.5536829022893617</v>
      </c>
      <c r="P40" s="9">
        <f t="shared" si="21"/>
        <v>0</v>
      </c>
      <c r="Q40" s="9">
        <f>MoF!AB21</f>
        <v>0.57600000000000007</v>
      </c>
      <c r="R40" s="9">
        <f t="shared" si="22"/>
        <v>7.1296829022893622</v>
      </c>
      <c r="S40" s="105">
        <f>'Rate of RoE'!Q42</f>
        <v>0.14000000000000001</v>
      </c>
      <c r="T40" s="9">
        <f t="shared" si="23"/>
        <v>0.95783560632051079</v>
      </c>
      <c r="U40" s="9">
        <f t="shared" si="24"/>
        <v>7.1296829022893622</v>
      </c>
      <c r="V40" s="9">
        <v>0</v>
      </c>
      <c r="W40" s="9">
        <f>MoF!AL21</f>
        <v>3.7023419999999998</v>
      </c>
      <c r="X40" s="9">
        <f t="shared" si="25"/>
        <v>10.832024902289362</v>
      </c>
      <c r="Y40" s="105">
        <v>0.14000000000000001</v>
      </c>
      <c r="Z40" s="9">
        <f t="shared" si="26"/>
        <v>1.2573195463205107</v>
      </c>
      <c r="AA40" s="9">
        <f t="shared" si="27"/>
        <v>10.832024902289362</v>
      </c>
      <c r="AB40" s="9">
        <v>0</v>
      </c>
      <c r="AC40" s="9">
        <f>MoF!AV21</f>
        <v>7.9560000000000031</v>
      </c>
      <c r="AD40" s="9">
        <f t="shared" si="28"/>
        <v>18.788024902289365</v>
      </c>
      <c r="AE40" s="105">
        <v>0.14000000000000001</v>
      </c>
      <c r="AF40" s="9">
        <f t="shared" si="29"/>
        <v>2.0734034863205113</v>
      </c>
      <c r="AG40" s="9">
        <f t="shared" si="30"/>
        <v>18.788024902289365</v>
      </c>
      <c r="AH40" s="9">
        <v>0</v>
      </c>
      <c r="AI40" s="9">
        <f>MoF!BF21</f>
        <v>5.3279999999999994</v>
      </c>
      <c r="AJ40" s="9">
        <f t="shared" si="31"/>
        <v>24.116024902289364</v>
      </c>
      <c r="AK40" s="105">
        <v>0.14000000000000001</v>
      </c>
      <c r="AL40" s="9">
        <f t="shared" si="32"/>
        <v>3.0032834863205116</v>
      </c>
    </row>
    <row r="41" spans="2:38" x14ac:dyDescent="0.35">
      <c r="B41" s="12" t="s">
        <v>27</v>
      </c>
      <c r="C41" s="13">
        <f>SUM(C24:C40)</f>
        <v>10753.625008369945</v>
      </c>
      <c r="D41" s="13">
        <f t="shared" ref="D41:F41" si="33">SUM(D24:D40)</f>
        <v>-6.0848684468669161</v>
      </c>
      <c r="E41" s="13">
        <f t="shared" si="33"/>
        <v>176.56642973449041</v>
      </c>
      <c r="F41" s="13">
        <f t="shared" si="33"/>
        <v>10924.10656965757</v>
      </c>
      <c r="G41" s="11"/>
      <c r="H41" s="13">
        <f t="shared" ref="H41" si="34">SUM(H24:H40)</f>
        <v>1680.0241972971326</v>
      </c>
      <c r="I41" s="13">
        <f>SUM(I24:I40)</f>
        <v>10924.10656965757</v>
      </c>
      <c r="J41" s="13">
        <f t="shared" ref="J41:L41" si="35">SUM(J24:J40)</f>
        <v>-2.3380006337456924</v>
      </c>
      <c r="K41" s="13">
        <f t="shared" si="35"/>
        <v>170.89829282460002</v>
      </c>
      <c r="L41" s="13">
        <f t="shared" si="35"/>
        <v>11092.666861848425</v>
      </c>
      <c r="M41" s="11"/>
      <c r="N41" s="13">
        <f t="shared" ref="N41" si="36">SUM(N24:N40)</f>
        <v>1566.9719019007457</v>
      </c>
      <c r="O41" s="13">
        <f>SUM(O24:O40)</f>
        <v>11092.666861848425</v>
      </c>
      <c r="P41" s="13">
        <f t="shared" ref="P41:R41" si="37">SUM(P24:P40)</f>
        <v>-34.095310830422683</v>
      </c>
      <c r="Q41" s="13">
        <f t="shared" si="37"/>
        <v>335.93237132400009</v>
      </c>
      <c r="R41" s="13">
        <f t="shared" si="37"/>
        <v>11394.503922342001</v>
      </c>
      <c r="S41" s="11"/>
      <c r="T41" s="13">
        <f t="shared" ref="T41" si="38">SUM(T24:T40)</f>
        <v>1583.5294695800374</v>
      </c>
      <c r="U41" s="13">
        <f>SUM(U24:U40)</f>
        <v>11394.503922342001</v>
      </c>
      <c r="V41" s="13">
        <f t="shared" ref="V41:X41" si="39">SUM(V24:V40)</f>
        <v>0</v>
      </c>
      <c r="W41" s="13">
        <f t="shared" si="39"/>
        <v>335.60962659090001</v>
      </c>
      <c r="X41" s="13">
        <f t="shared" si="39"/>
        <v>11730.113548932901</v>
      </c>
      <c r="Y41" s="11"/>
      <c r="Z41" s="13">
        <f t="shared" ref="Z41" si="40">SUM(Z24:Z40)</f>
        <v>1618.7232229892436</v>
      </c>
      <c r="AA41" s="13">
        <f>SUM(AA24:AA40)</f>
        <v>11730.113548932901</v>
      </c>
      <c r="AB41" s="13">
        <f t="shared" ref="AB41:AD41" si="41">SUM(AB24:AB40)</f>
        <v>0</v>
      </c>
      <c r="AC41" s="13">
        <f t="shared" si="41"/>
        <v>470.74772588869575</v>
      </c>
      <c r="AD41" s="13">
        <f t="shared" si="41"/>
        <v>12200.861274821596</v>
      </c>
      <c r="AE41" s="11"/>
      <c r="AF41" s="13">
        <f t="shared" ref="AF41" si="42">SUM(AF24:AF40)</f>
        <v>1675.168237662815</v>
      </c>
      <c r="AG41" s="13">
        <f>SUM(AG24:AG40)</f>
        <v>12200.861274821596</v>
      </c>
      <c r="AH41" s="13">
        <f t="shared" ref="AH41:AJ41" si="43">SUM(AH24:AH40)</f>
        <v>0</v>
      </c>
      <c r="AI41" s="13">
        <f t="shared" si="43"/>
        <v>1109.7185752076427</v>
      </c>
      <c r="AJ41" s="13">
        <f t="shared" si="43"/>
        <v>13310.57985002924</v>
      </c>
      <c r="AK41" s="11"/>
      <c r="AL41" s="13">
        <f t="shared" ref="AL41" si="44">SUM(AL24:AL40)</f>
        <v>1785.8008787395586</v>
      </c>
    </row>
    <row r="43" spans="2:38" x14ac:dyDescent="0.35">
      <c r="B43" s="3" t="s">
        <v>131</v>
      </c>
    </row>
    <row r="44" spans="2:38" x14ac:dyDescent="0.35">
      <c r="B44" s="188" t="s">
        <v>170</v>
      </c>
      <c r="C44" s="189" t="s">
        <v>31</v>
      </c>
      <c r="D44" s="190"/>
      <c r="E44" s="190"/>
      <c r="F44" s="190"/>
      <c r="G44" s="190"/>
      <c r="H44" s="191"/>
      <c r="I44" s="189" t="s">
        <v>32</v>
      </c>
      <c r="J44" s="190"/>
      <c r="K44" s="190"/>
      <c r="L44" s="190"/>
      <c r="M44" s="190"/>
      <c r="N44" s="191"/>
      <c r="O44" s="189" t="s">
        <v>33</v>
      </c>
      <c r="P44" s="190"/>
      <c r="Q44" s="190"/>
      <c r="R44" s="190"/>
      <c r="S44" s="190"/>
      <c r="T44" s="191"/>
      <c r="U44" s="189" t="s">
        <v>34</v>
      </c>
      <c r="V44" s="190"/>
      <c r="W44" s="190"/>
      <c r="X44" s="190"/>
      <c r="Y44" s="190"/>
      <c r="Z44" s="191"/>
      <c r="AA44" s="189" t="s">
        <v>35</v>
      </c>
      <c r="AB44" s="190"/>
      <c r="AC44" s="190"/>
      <c r="AD44" s="190"/>
      <c r="AE44" s="190"/>
      <c r="AF44" s="191"/>
      <c r="AG44" s="189" t="s">
        <v>127</v>
      </c>
      <c r="AH44" s="190"/>
      <c r="AI44" s="190"/>
      <c r="AJ44" s="190"/>
      <c r="AK44" s="190"/>
      <c r="AL44" s="191"/>
    </row>
    <row r="45" spans="2:38" ht="30" x14ac:dyDescent="0.35">
      <c r="B45" s="188"/>
      <c r="C45" s="102" t="s">
        <v>197</v>
      </c>
      <c r="D45" s="102" t="s">
        <v>129</v>
      </c>
      <c r="E45" s="102" t="s">
        <v>114</v>
      </c>
      <c r="F45" s="102" t="s">
        <v>198</v>
      </c>
      <c r="G45" s="106" t="s">
        <v>199</v>
      </c>
      <c r="H45" s="106" t="s">
        <v>25</v>
      </c>
      <c r="I45" s="102" t="s">
        <v>197</v>
      </c>
      <c r="J45" s="102" t="s">
        <v>129</v>
      </c>
      <c r="K45" s="102" t="s">
        <v>114</v>
      </c>
      <c r="L45" s="102" t="s">
        <v>198</v>
      </c>
      <c r="M45" s="106" t="s">
        <v>199</v>
      </c>
      <c r="N45" s="106" t="s">
        <v>25</v>
      </c>
      <c r="O45" s="102" t="s">
        <v>197</v>
      </c>
      <c r="P45" s="102" t="s">
        <v>129</v>
      </c>
      <c r="Q45" s="102" t="s">
        <v>114</v>
      </c>
      <c r="R45" s="102" t="s">
        <v>198</v>
      </c>
      <c r="S45" s="106" t="s">
        <v>199</v>
      </c>
      <c r="T45" s="106" t="s">
        <v>25</v>
      </c>
      <c r="U45" s="102" t="s">
        <v>197</v>
      </c>
      <c r="V45" s="102" t="s">
        <v>129</v>
      </c>
      <c r="W45" s="102" t="s">
        <v>114</v>
      </c>
      <c r="X45" s="102" t="s">
        <v>198</v>
      </c>
      <c r="Y45" s="102" t="s">
        <v>199</v>
      </c>
      <c r="Z45" s="106" t="s">
        <v>25</v>
      </c>
      <c r="AA45" s="102" t="s">
        <v>197</v>
      </c>
      <c r="AB45" s="102" t="s">
        <v>129</v>
      </c>
      <c r="AC45" s="102" t="s">
        <v>114</v>
      </c>
      <c r="AD45" s="102" t="s">
        <v>198</v>
      </c>
      <c r="AE45" s="102" t="s">
        <v>199</v>
      </c>
      <c r="AF45" s="106" t="s">
        <v>25</v>
      </c>
      <c r="AG45" s="102" t="s">
        <v>197</v>
      </c>
      <c r="AH45" s="102" t="s">
        <v>129</v>
      </c>
      <c r="AI45" s="102" t="s">
        <v>114</v>
      </c>
      <c r="AJ45" s="102" t="s">
        <v>198</v>
      </c>
      <c r="AK45" s="102" t="s">
        <v>199</v>
      </c>
      <c r="AL45" s="106" t="s">
        <v>25</v>
      </c>
    </row>
    <row r="46" spans="2:38" x14ac:dyDescent="0.35">
      <c r="B46" s="7" t="s">
        <v>43</v>
      </c>
      <c r="C46" s="9">
        <v>93.141411845295607</v>
      </c>
      <c r="D46" s="9">
        <v>-0.87937486301062873</v>
      </c>
      <c r="E46" s="9">
        <f>MoF!G5</f>
        <v>1.1139843936</v>
      </c>
      <c r="F46" s="9">
        <f>SUM(C46:E46)</f>
        <v>93.376021375884989</v>
      </c>
      <c r="G46" s="105">
        <v>0.155</v>
      </c>
      <c r="H46" s="9">
        <f>G46*AVERAGE(C46,F46)</f>
        <v>14.455101074641496</v>
      </c>
      <c r="I46" s="9">
        <f>F46</f>
        <v>93.376021375884989</v>
      </c>
      <c r="J46" s="9">
        <v>0</v>
      </c>
      <c r="K46" s="9">
        <f>MoF!Q5</f>
        <v>1.85090994</v>
      </c>
      <c r="L46" s="9">
        <f>SUM(I46:K46)</f>
        <v>95.226931315884983</v>
      </c>
      <c r="M46" s="105">
        <f>'Rate of RoE'!P5</f>
        <v>0.15250000000000002</v>
      </c>
      <c r="N46" s="9">
        <f>M46*AVERAGE(I46,L46)</f>
        <v>14.380975142747463</v>
      </c>
      <c r="O46" s="9">
        <f>L46</f>
        <v>95.226931315884983</v>
      </c>
      <c r="P46" s="9">
        <v>-3.1012469504111479E-2</v>
      </c>
      <c r="Q46" s="9">
        <f>MoF!AA5</f>
        <v>0.54064511910000002</v>
      </c>
      <c r="R46" s="9">
        <f>SUM(O46:Q46)</f>
        <v>95.736563965480883</v>
      </c>
      <c r="S46" s="105">
        <f>'Rate of RoE'!P26</f>
        <v>0.14250000000000002</v>
      </c>
      <c r="T46" s="9">
        <f>S46*AVERAGE(O46,R46)</f>
        <v>13.606149038797318</v>
      </c>
      <c r="U46" s="9">
        <f>R46</f>
        <v>95.736563965480883</v>
      </c>
      <c r="V46" s="9">
        <v>0</v>
      </c>
      <c r="W46" s="9">
        <f>MoF!AK5</f>
        <v>0</v>
      </c>
      <c r="X46" s="9">
        <f>SUM(U46:W46)</f>
        <v>95.736563965480883</v>
      </c>
      <c r="Y46" s="105">
        <v>0.14000000000000001</v>
      </c>
      <c r="Z46" s="9">
        <f>Y46*AVERAGE(U46,X46)</f>
        <v>13.403118955167326</v>
      </c>
      <c r="AA46" s="9">
        <f>X46</f>
        <v>95.736563965480883</v>
      </c>
      <c r="AB46" s="9">
        <v>0</v>
      </c>
      <c r="AC46" s="9">
        <f>MoF!AU5</f>
        <v>1.6619999999999999</v>
      </c>
      <c r="AD46" s="9">
        <f>SUM(AA46:AC46)</f>
        <v>97.398563965480889</v>
      </c>
      <c r="AE46" s="105">
        <v>0.14000000000000001</v>
      </c>
      <c r="AF46" s="9">
        <f>AE46*AVERAGE(AA46,AD46)</f>
        <v>13.519458955167325</v>
      </c>
      <c r="AG46" s="9">
        <f>AD46</f>
        <v>97.398563965480889</v>
      </c>
      <c r="AH46" s="9">
        <v>0</v>
      </c>
      <c r="AI46" s="9">
        <f>MoF!BE5</f>
        <v>0</v>
      </c>
      <c r="AJ46" s="9">
        <f>SUM(AG46:AI46)</f>
        <v>97.398563965480889</v>
      </c>
      <c r="AK46" s="105">
        <v>0.14000000000000001</v>
      </c>
      <c r="AL46" s="9">
        <f>AK46*AVERAGE(AG46,AJ46)</f>
        <v>13.635798955167326</v>
      </c>
    </row>
    <row r="47" spans="2:38" x14ac:dyDescent="0.35">
      <c r="B47" s="7" t="s">
        <v>150</v>
      </c>
      <c r="C47" s="9">
        <v>768.33313402611088</v>
      </c>
      <c r="D47" s="9">
        <v>0</v>
      </c>
      <c r="E47" s="9">
        <f>MoF!G6</f>
        <v>16.236829322999998</v>
      </c>
      <c r="F47" s="9">
        <f t="shared" ref="F47:F62" si="45">SUM(C47:E47)</f>
        <v>784.56996334911094</v>
      </c>
      <c r="G47" s="105">
        <v>0.155</v>
      </c>
      <c r="H47" s="9">
        <f t="shared" ref="H47:H62" si="46">G47*AVERAGE(C47,F47)</f>
        <v>120.34999004657971</v>
      </c>
      <c r="I47" s="9">
        <f t="shared" ref="I47:I62" si="47">F47</f>
        <v>784.56996334911094</v>
      </c>
      <c r="J47" s="9">
        <v>0</v>
      </c>
      <c r="K47" s="9">
        <f>MoF!Q6</f>
        <v>17.967457990200003</v>
      </c>
      <c r="L47" s="9">
        <f t="shared" ref="L47:L62" si="48">SUM(I47:K47)</f>
        <v>802.53742133931098</v>
      </c>
      <c r="M47" s="105">
        <f>'Rate of RoE'!P6</f>
        <v>0.14380208333333336</v>
      </c>
      <c r="N47" s="9">
        <f t="shared" ref="N47:N62" si="49">M47*AVERAGE(I47,L47)</f>
        <v>114.11467419595661</v>
      </c>
      <c r="O47" s="9">
        <f t="shared" ref="O47:O62" si="50">L47</f>
        <v>802.53742133931098</v>
      </c>
      <c r="P47" s="9">
        <v>-0.73941161166426161</v>
      </c>
      <c r="Q47" s="9">
        <f>MoF!AA6</f>
        <v>119.27375126519995</v>
      </c>
      <c r="R47" s="9">
        <f t="shared" ref="R47:R62" si="51">SUM(O47:Q47)</f>
        <v>921.07176099284663</v>
      </c>
      <c r="S47" s="105">
        <f>'Rate of RoE'!P27</f>
        <v>0.14250000000000002</v>
      </c>
      <c r="T47" s="9">
        <f t="shared" ref="T47:T62" si="52">S47*AVERAGE(O47,R47)</f>
        <v>122.80715424116624</v>
      </c>
      <c r="U47" s="9">
        <f t="shared" ref="U47:U62" si="53">R47</f>
        <v>921.07176099284663</v>
      </c>
      <c r="V47" s="9">
        <v>0</v>
      </c>
      <c r="W47" s="9">
        <f>MoF!AK6</f>
        <v>63.566999999999993</v>
      </c>
      <c r="X47" s="9">
        <f t="shared" ref="X47:X62" si="54">SUM(U47:W47)</f>
        <v>984.63876099284664</v>
      </c>
      <c r="Y47" s="105">
        <v>0.14000000000000001</v>
      </c>
      <c r="Z47" s="9">
        <f t="shared" ref="Z47:Z62" si="55">Y47*AVERAGE(U47,X47)</f>
        <v>133.39973653899855</v>
      </c>
      <c r="AA47" s="9">
        <f t="shared" ref="AA47:AA62" si="56">X47</f>
        <v>984.63876099284664</v>
      </c>
      <c r="AB47" s="9">
        <v>0</v>
      </c>
      <c r="AC47" s="9">
        <f>MoF!AU6</f>
        <v>123.57599999999999</v>
      </c>
      <c r="AD47" s="9">
        <f t="shared" ref="AD47:AD62" si="57">SUM(AA47:AC47)</f>
        <v>1108.2147609928465</v>
      </c>
      <c r="AE47" s="105">
        <v>0.14000000000000001</v>
      </c>
      <c r="AF47" s="9">
        <f t="shared" ref="AF47:AF62" si="58">AE47*AVERAGE(AA47,AD47)</f>
        <v>146.49974653899852</v>
      </c>
      <c r="AG47" s="9">
        <f t="shared" ref="AG47:AG62" si="59">AD47</f>
        <v>1108.2147609928465</v>
      </c>
      <c r="AH47" s="9">
        <v>0</v>
      </c>
      <c r="AI47" s="9">
        <f>MoF!BE6</f>
        <v>513.16800000000001</v>
      </c>
      <c r="AJ47" s="9">
        <f t="shared" ref="AJ47:AJ62" si="60">SUM(AG47:AI47)</f>
        <v>1621.3827609928467</v>
      </c>
      <c r="AK47" s="105">
        <v>0.14000000000000001</v>
      </c>
      <c r="AL47" s="9">
        <f t="shared" ref="AL47:AL62" si="61">AK47*AVERAGE(AG47,AJ47)</f>
        <v>191.07182653899855</v>
      </c>
    </row>
    <row r="48" spans="2:38" x14ac:dyDescent="0.35">
      <c r="B48" s="7" t="s">
        <v>151</v>
      </c>
      <c r="C48" s="9">
        <v>972.49083188269151</v>
      </c>
      <c r="D48" s="9">
        <v>-0.11893090646910165</v>
      </c>
      <c r="E48" s="9">
        <f>MoF!G7</f>
        <v>3.6018618671999998</v>
      </c>
      <c r="F48" s="9">
        <f t="shared" si="45"/>
        <v>975.97376284342238</v>
      </c>
      <c r="G48" s="105">
        <v>0.155</v>
      </c>
      <c r="H48" s="9">
        <f t="shared" si="46"/>
        <v>151.0060060912738</v>
      </c>
      <c r="I48" s="9">
        <f t="shared" si="47"/>
        <v>975.97376284342238</v>
      </c>
      <c r="J48" s="9">
        <v>-1.2464778889529549</v>
      </c>
      <c r="K48" s="9">
        <f>MoF!Q7</f>
        <v>4.1868941976</v>
      </c>
      <c r="L48" s="9">
        <f t="shared" si="48"/>
        <v>978.91417915206944</v>
      </c>
      <c r="M48" s="105">
        <f>'Rate of RoE'!P7</f>
        <v>0.14500000000000002</v>
      </c>
      <c r="N48" s="9">
        <f t="shared" si="49"/>
        <v>141.72937579467319</v>
      </c>
      <c r="O48" s="9">
        <f t="shared" si="50"/>
        <v>978.91417915206944</v>
      </c>
      <c r="P48" s="9">
        <v>-5.5266453705702965</v>
      </c>
      <c r="Q48" s="9">
        <f>MoF!AA7</f>
        <v>9.9749142639000006</v>
      </c>
      <c r="R48" s="9">
        <f t="shared" si="51"/>
        <v>983.36244804539911</v>
      </c>
      <c r="S48" s="105">
        <f>'Rate of RoE'!P28</f>
        <v>0.144375</v>
      </c>
      <c r="T48" s="9">
        <f t="shared" si="52"/>
        <v>141.65184402581727</v>
      </c>
      <c r="U48" s="9">
        <f t="shared" si="53"/>
        <v>983.36244804539911</v>
      </c>
      <c r="V48" s="9">
        <v>0</v>
      </c>
      <c r="W48" s="9">
        <f>MoF!AK7</f>
        <v>13.731</v>
      </c>
      <c r="X48" s="9">
        <f t="shared" si="54"/>
        <v>997.0934480453991</v>
      </c>
      <c r="Y48" s="105">
        <v>0.14000000000000001</v>
      </c>
      <c r="Z48" s="9">
        <f t="shared" si="55"/>
        <v>138.63191272635589</v>
      </c>
      <c r="AA48" s="9">
        <f t="shared" si="56"/>
        <v>997.0934480453991</v>
      </c>
      <c r="AB48" s="9">
        <v>0</v>
      </c>
      <c r="AC48" s="9">
        <f>MoF!AU7</f>
        <v>194.86199999999999</v>
      </c>
      <c r="AD48" s="9">
        <f t="shared" si="57"/>
        <v>1191.9554480453992</v>
      </c>
      <c r="AE48" s="105">
        <v>0.14000000000000001</v>
      </c>
      <c r="AF48" s="9">
        <f t="shared" si="58"/>
        <v>153.23342272635588</v>
      </c>
      <c r="AG48" s="9">
        <f t="shared" si="59"/>
        <v>1191.9554480453992</v>
      </c>
      <c r="AH48" s="9">
        <v>0</v>
      </c>
      <c r="AI48" s="9">
        <f>MoF!BE7</f>
        <v>106.887</v>
      </c>
      <c r="AJ48" s="9">
        <f t="shared" si="60"/>
        <v>1298.8424480453991</v>
      </c>
      <c r="AK48" s="105">
        <v>0.14000000000000001</v>
      </c>
      <c r="AL48" s="9">
        <f t="shared" si="61"/>
        <v>174.35585272635592</v>
      </c>
    </row>
    <row r="49" spans="2:38" x14ac:dyDescent="0.35">
      <c r="B49" s="7" t="s">
        <v>44</v>
      </c>
      <c r="C49" s="9">
        <v>237.41783987862317</v>
      </c>
      <c r="D49" s="9">
        <v>0</v>
      </c>
      <c r="E49" s="9">
        <f>MoF!G8</f>
        <v>12.375134776499998</v>
      </c>
      <c r="F49" s="9">
        <f t="shared" si="45"/>
        <v>249.79297465512317</v>
      </c>
      <c r="G49" s="105">
        <v>0.155</v>
      </c>
      <c r="H49" s="9">
        <f t="shared" si="46"/>
        <v>37.75883812636534</v>
      </c>
      <c r="I49" s="9">
        <f t="shared" si="47"/>
        <v>249.79297465512317</v>
      </c>
      <c r="J49" s="9">
        <v>-5.8840054673303881E-2</v>
      </c>
      <c r="K49" s="9">
        <f>MoF!Q8</f>
        <v>33.6909716985</v>
      </c>
      <c r="L49" s="9">
        <f t="shared" si="48"/>
        <v>283.42510629894986</v>
      </c>
      <c r="M49" s="105">
        <f>'Rate of RoE'!P8</f>
        <v>0.14875000000000002</v>
      </c>
      <c r="N49" s="9">
        <f t="shared" si="49"/>
        <v>39.658094770959188</v>
      </c>
      <c r="O49" s="9">
        <f t="shared" si="50"/>
        <v>283.42510629894986</v>
      </c>
      <c r="P49" s="9">
        <v>-25.830812927533557</v>
      </c>
      <c r="Q49" s="9">
        <f>MoF!AA8</f>
        <v>2.6004261035999998</v>
      </c>
      <c r="R49" s="9">
        <f t="shared" si="51"/>
        <v>260.19471947501631</v>
      </c>
      <c r="S49" s="105">
        <f>'Rate of RoE'!P29</f>
        <v>0.14250000000000002</v>
      </c>
      <c r="T49" s="9">
        <f t="shared" si="52"/>
        <v>38.732912586395088</v>
      </c>
      <c r="U49" s="9">
        <f t="shared" si="53"/>
        <v>260.19471947501631</v>
      </c>
      <c r="V49" s="9">
        <v>0</v>
      </c>
      <c r="W49" s="9">
        <f>MoF!AK8</f>
        <v>14.840999999999999</v>
      </c>
      <c r="X49" s="9">
        <f t="shared" si="54"/>
        <v>275.03571947501632</v>
      </c>
      <c r="Y49" s="105">
        <v>0.14000000000000001</v>
      </c>
      <c r="Z49" s="9">
        <f t="shared" si="55"/>
        <v>37.466130726502286</v>
      </c>
      <c r="AA49" s="9">
        <f t="shared" si="56"/>
        <v>275.03571947501632</v>
      </c>
      <c r="AB49" s="9">
        <v>0</v>
      </c>
      <c r="AC49" s="9">
        <f>MoF!AU8</f>
        <v>36.089999999999996</v>
      </c>
      <c r="AD49" s="9">
        <f t="shared" si="57"/>
        <v>311.1257194750163</v>
      </c>
      <c r="AE49" s="105">
        <v>0.14000000000000001</v>
      </c>
      <c r="AF49" s="9">
        <f t="shared" si="58"/>
        <v>41.03130072650228</v>
      </c>
      <c r="AG49" s="9">
        <f t="shared" si="59"/>
        <v>311.1257194750163</v>
      </c>
      <c r="AH49" s="9">
        <v>0</v>
      </c>
      <c r="AI49" s="9">
        <f>MoF!BE8</f>
        <v>75.434999999999988</v>
      </c>
      <c r="AJ49" s="9">
        <f t="shared" si="60"/>
        <v>386.5607194750163</v>
      </c>
      <c r="AK49" s="105">
        <v>0.14000000000000001</v>
      </c>
      <c r="AL49" s="9">
        <f t="shared" si="61"/>
        <v>48.838050726502289</v>
      </c>
    </row>
    <row r="50" spans="2:38" x14ac:dyDescent="0.35">
      <c r="B50" s="7" t="s">
        <v>152</v>
      </c>
      <c r="C50" s="9">
        <v>237.30151977242519</v>
      </c>
      <c r="D50" s="9">
        <v>-2.0618933256846685</v>
      </c>
      <c r="E50" s="9">
        <f>MoF!G9</f>
        <v>10.34224974</v>
      </c>
      <c r="F50" s="9">
        <f t="shared" si="45"/>
        <v>245.58187618674052</v>
      </c>
      <c r="G50" s="105">
        <v>0.155</v>
      </c>
      <c r="H50" s="9">
        <f t="shared" si="46"/>
        <v>37.423463186835342</v>
      </c>
      <c r="I50" s="9">
        <f t="shared" si="47"/>
        <v>245.58187618674052</v>
      </c>
      <c r="J50" s="9">
        <v>0</v>
      </c>
      <c r="K50" s="9">
        <f>MoF!Q9</f>
        <v>1.57502907</v>
      </c>
      <c r="L50" s="9">
        <f t="shared" si="48"/>
        <v>247.15690525674052</v>
      </c>
      <c r="M50" s="105">
        <f>'Rate of RoE'!P9</f>
        <v>0.15250000000000002</v>
      </c>
      <c r="N50" s="9">
        <f t="shared" si="49"/>
        <v>37.571332085065436</v>
      </c>
      <c r="O50" s="9">
        <f t="shared" si="50"/>
        <v>247.15690525674052</v>
      </c>
      <c r="P50" s="9">
        <v>0</v>
      </c>
      <c r="Q50" s="9">
        <f>MoF!AA9</f>
        <v>3.0106609499999997</v>
      </c>
      <c r="R50" s="9">
        <f t="shared" si="51"/>
        <v>250.1675662067405</v>
      </c>
      <c r="S50" s="105">
        <f>'Rate of RoE'!P30</f>
        <v>0.15083333333333335</v>
      </c>
      <c r="T50" s="9">
        <f t="shared" si="52"/>
        <v>37.506553889537528</v>
      </c>
      <c r="U50" s="9">
        <f t="shared" si="53"/>
        <v>250.1675662067405</v>
      </c>
      <c r="V50" s="9">
        <v>0</v>
      </c>
      <c r="W50" s="9">
        <f>MoF!AK9</f>
        <v>1.857</v>
      </c>
      <c r="X50" s="9">
        <f t="shared" si="54"/>
        <v>252.0245662067405</v>
      </c>
      <c r="Y50" s="105">
        <v>0.14000000000000001</v>
      </c>
      <c r="Z50" s="9">
        <f t="shared" si="55"/>
        <v>35.153449268943675</v>
      </c>
      <c r="AA50" s="9">
        <f t="shared" si="56"/>
        <v>252.0245662067405</v>
      </c>
      <c r="AB50" s="9">
        <v>0</v>
      </c>
      <c r="AC50" s="9">
        <f>MoF!AU9</f>
        <v>14.993999999999998</v>
      </c>
      <c r="AD50" s="9">
        <f t="shared" si="57"/>
        <v>267.0185662067405</v>
      </c>
      <c r="AE50" s="105">
        <v>0.14000000000000001</v>
      </c>
      <c r="AF50" s="9">
        <f t="shared" si="58"/>
        <v>36.333019268943673</v>
      </c>
      <c r="AG50" s="9">
        <f t="shared" si="59"/>
        <v>267.0185662067405</v>
      </c>
      <c r="AH50" s="9">
        <v>0</v>
      </c>
      <c r="AI50" s="9">
        <f>MoF!BE9</f>
        <v>24.912000000000003</v>
      </c>
      <c r="AJ50" s="9">
        <f t="shared" si="60"/>
        <v>291.93056620674048</v>
      </c>
      <c r="AK50" s="105">
        <v>0.14000000000000001</v>
      </c>
      <c r="AL50" s="9">
        <f t="shared" si="61"/>
        <v>39.126439268943678</v>
      </c>
    </row>
    <row r="51" spans="2:38" x14ac:dyDescent="0.35">
      <c r="B51" s="7" t="s">
        <v>154</v>
      </c>
      <c r="C51" s="9">
        <v>294.89002084176343</v>
      </c>
      <c r="D51" s="9">
        <v>-0.13849007631310523</v>
      </c>
      <c r="E51" s="9">
        <f>MoF!G10</f>
        <v>0.26229542999999994</v>
      </c>
      <c r="F51" s="9">
        <f t="shared" si="45"/>
        <v>295.01382619545029</v>
      </c>
      <c r="G51" s="105">
        <v>0.155</v>
      </c>
      <c r="H51" s="9">
        <f t="shared" si="46"/>
        <v>45.717548145384065</v>
      </c>
      <c r="I51" s="9">
        <f t="shared" si="47"/>
        <v>295.01382619545029</v>
      </c>
      <c r="J51" s="9">
        <v>-5.0446420781776729E-3</v>
      </c>
      <c r="K51" s="9">
        <f>MoF!Q10</f>
        <v>2.4553448549999994</v>
      </c>
      <c r="L51" s="9">
        <f t="shared" si="48"/>
        <v>297.46412640837212</v>
      </c>
      <c r="M51" s="105">
        <f>'Rate of RoE'!P10</f>
        <v>0.14250000000000002</v>
      </c>
      <c r="N51" s="9">
        <f t="shared" si="49"/>
        <v>42.21405412302235</v>
      </c>
      <c r="O51" s="9">
        <f t="shared" si="50"/>
        <v>297.46412640837212</v>
      </c>
      <c r="P51" s="9">
        <v>0</v>
      </c>
      <c r="Q51" s="9">
        <f>MoF!AA10</f>
        <v>4.6265220000000003E-2</v>
      </c>
      <c r="R51" s="9">
        <f t="shared" si="51"/>
        <v>297.51039162837213</v>
      </c>
      <c r="S51" s="105">
        <f>'Rate of RoE'!P31</f>
        <v>0.14250000000000002</v>
      </c>
      <c r="T51" s="9">
        <f t="shared" si="52"/>
        <v>42.391934410118033</v>
      </c>
      <c r="U51" s="9">
        <f t="shared" si="53"/>
        <v>297.51039162837213</v>
      </c>
      <c r="V51" s="9">
        <v>0</v>
      </c>
      <c r="W51" s="9">
        <f>MoF!AK10</f>
        <v>10.364999999999998</v>
      </c>
      <c r="X51" s="9">
        <f t="shared" si="54"/>
        <v>307.87539162837214</v>
      </c>
      <c r="Y51" s="105">
        <v>0.14000000000000001</v>
      </c>
      <c r="Z51" s="9">
        <f t="shared" si="55"/>
        <v>42.377004827972101</v>
      </c>
      <c r="AA51" s="9">
        <f t="shared" si="56"/>
        <v>307.87539162837214</v>
      </c>
      <c r="AB51" s="9">
        <v>0</v>
      </c>
      <c r="AC51" s="9">
        <f>MoF!AU10</f>
        <v>34.212000000000003</v>
      </c>
      <c r="AD51" s="9">
        <f t="shared" si="57"/>
        <v>342.08739162837213</v>
      </c>
      <c r="AE51" s="105">
        <v>0.14000000000000001</v>
      </c>
      <c r="AF51" s="9">
        <f t="shared" si="58"/>
        <v>45.497394827972101</v>
      </c>
      <c r="AG51" s="9">
        <f t="shared" si="59"/>
        <v>342.08739162837213</v>
      </c>
      <c r="AH51" s="9">
        <v>0</v>
      </c>
      <c r="AI51" s="9">
        <f>MoF!BE10</f>
        <v>7.7010000000000005</v>
      </c>
      <c r="AJ51" s="9">
        <f t="shared" si="60"/>
        <v>349.78839162837215</v>
      </c>
      <c r="AK51" s="105">
        <v>0.14000000000000001</v>
      </c>
      <c r="AL51" s="9">
        <f t="shared" si="61"/>
        <v>48.431304827972106</v>
      </c>
    </row>
    <row r="52" spans="2:38" x14ac:dyDescent="0.35">
      <c r="B52" s="7" t="s">
        <v>155</v>
      </c>
      <c r="C52" s="9">
        <v>920.63711930344903</v>
      </c>
      <c r="D52" s="9">
        <v>-1.072878379874975</v>
      </c>
      <c r="E52" s="9">
        <f>MoF!G11</f>
        <v>3.2299674885000003</v>
      </c>
      <c r="F52" s="9">
        <f t="shared" si="45"/>
        <v>922.79420841207411</v>
      </c>
      <c r="G52" s="105">
        <v>0.155</v>
      </c>
      <c r="H52" s="9">
        <f t="shared" si="46"/>
        <v>142.86592789795304</v>
      </c>
      <c r="I52" s="9">
        <f t="shared" si="47"/>
        <v>922.79420841207411</v>
      </c>
      <c r="J52" s="9">
        <v>0</v>
      </c>
      <c r="K52" s="9">
        <f>MoF!Q11</f>
        <v>3.5349412142999999</v>
      </c>
      <c r="L52" s="9">
        <f t="shared" si="48"/>
        <v>926.32914962637415</v>
      </c>
      <c r="M52" s="105">
        <f>'Rate of RoE'!P11</f>
        <v>0.14250000000000002</v>
      </c>
      <c r="N52" s="9">
        <f t="shared" si="49"/>
        <v>131.75003926023945</v>
      </c>
      <c r="O52" s="9">
        <f t="shared" si="50"/>
        <v>926.32914962637415</v>
      </c>
      <c r="P52" s="9">
        <v>0</v>
      </c>
      <c r="Q52" s="9">
        <f>MoF!AA11</f>
        <v>8.0852943441000011</v>
      </c>
      <c r="R52" s="9">
        <f t="shared" si="51"/>
        <v>934.41444397047417</v>
      </c>
      <c r="S52" s="105">
        <f>'Rate of RoE'!P32</f>
        <v>0.14250000000000002</v>
      </c>
      <c r="T52" s="9">
        <f t="shared" si="52"/>
        <v>132.57798104377545</v>
      </c>
      <c r="U52" s="9">
        <f t="shared" si="53"/>
        <v>934.41444397047417</v>
      </c>
      <c r="V52" s="9">
        <v>0</v>
      </c>
      <c r="W52" s="9">
        <f>MoF!AK11</f>
        <v>24.791999999999998</v>
      </c>
      <c r="X52" s="9">
        <f t="shared" si="54"/>
        <v>959.2064439704742</v>
      </c>
      <c r="Y52" s="105">
        <v>0.14000000000000001</v>
      </c>
      <c r="Z52" s="9">
        <f t="shared" si="55"/>
        <v>132.55346215586638</v>
      </c>
      <c r="AA52" s="9">
        <f t="shared" si="56"/>
        <v>959.2064439704742</v>
      </c>
      <c r="AB52" s="9">
        <v>0</v>
      </c>
      <c r="AC52" s="9">
        <f>MoF!AU11</f>
        <v>14.741999999999999</v>
      </c>
      <c r="AD52" s="9">
        <f t="shared" si="57"/>
        <v>973.94844397047416</v>
      </c>
      <c r="AE52" s="105">
        <v>0.14000000000000001</v>
      </c>
      <c r="AF52" s="9">
        <f t="shared" si="58"/>
        <v>135.32084215586639</v>
      </c>
      <c r="AG52" s="9">
        <f t="shared" si="59"/>
        <v>973.94844397047416</v>
      </c>
      <c r="AH52" s="9">
        <v>0</v>
      </c>
      <c r="AI52" s="9">
        <f>MoF!BE11</f>
        <v>174.05399999999997</v>
      </c>
      <c r="AJ52" s="9">
        <f t="shared" si="60"/>
        <v>1148.0024439704741</v>
      </c>
      <c r="AK52" s="105">
        <v>0.14000000000000001</v>
      </c>
      <c r="AL52" s="9">
        <f t="shared" si="61"/>
        <v>148.53656215586639</v>
      </c>
    </row>
    <row r="53" spans="2:38" x14ac:dyDescent="0.35">
      <c r="B53" s="7" t="s">
        <v>156</v>
      </c>
      <c r="C53" s="9">
        <v>891.33718306942808</v>
      </c>
      <c r="D53" s="9">
        <v>-0.76837576373070215</v>
      </c>
      <c r="E53" s="9">
        <f>MoF!G12</f>
        <v>16.092191792999998</v>
      </c>
      <c r="F53" s="9">
        <f t="shared" si="45"/>
        <v>906.6609990986974</v>
      </c>
      <c r="G53" s="105">
        <v>0.155</v>
      </c>
      <c r="H53" s="9">
        <f t="shared" si="46"/>
        <v>139.34485911802972</v>
      </c>
      <c r="I53" s="9">
        <f t="shared" si="47"/>
        <v>906.6609990986974</v>
      </c>
      <c r="J53" s="9">
        <v>0</v>
      </c>
      <c r="K53" s="9">
        <f>MoF!Q12</f>
        <v>7.9233993617999987</v>
      </c>
      <c r="L53" s="9">
        <f t="shared" si="48"/>
        <v>914.58439846049737</v>
      </c>
      <c r="M53" s="105">
        <f>'Rate of RoE'!P12</f>
        <v>0.15000000000000002</v>
      </c>
      <c r="N53" s="9">
        <f t="shared" si="49"/>
        <v>136.59340481693962</v>
      </c>
      <c r="O53" s="9">
        <f t="shared" si="50"/>
        <v>914.58439846049737</v>
      </c>
      <c r="P53" s="9">
        <v>-0.22397602410259274</v>
      </c>
      <c r="Q53" s="9">
        <f>MoF!AA12</f>
        <v>19.018236498299999</v>
      </c>
      <c r="R53" s="9">
        <f t="shared" si="51"/>
        <v>933.37865893469473</v>
      </c>
      <c r="S53" s="105">
        <f>'Rate of RoE'!P33</f>
        <v>0.14500000000000002</v>
      </c>
      <c r="T53" s="9">
        <f t="shared" si="52"/>
        <v>133.97732166115145</v>
      </c>
      <c r="U53" s="9">
        <f t="shared" si="53"/>
        <v>933.37865893469473</v>
      </c>
      <c r="V53" s="9">
        <v>0</v>
      </c>
      <c r="W53" s="9">
        <f>MoF!AK12</f>
        <v>11.444999999999999</v>
      </c>
      <c r="X53" s="9">
        <f t="shared" si="54"/>
        <v>944.82365893469478</v>
      </c>
      <c r="Y53" s="105">
        <v>0.14000000000000001</v>
      </c>
      <c r="Z53" s="9">
        <f t="shared" si="55"/>
        <v>131.47416225085726</v>
      </c>
      <c r="AA53" s="9">
        <f t="shared" si="56"/>
        <v>944.82365893469478</v>
      </c>
      <c r="AB53" s="9">
        <v>0</v>
      </c>
      <c r="AC53" s="9">
        <f>MoF!AU12</f>
        <v>8.2170000000000005</v>
      </c>
      <c r="AD53" s="9">
        <f t="shared" si="57"/>
        <v>953.04065893469476</v>
      </c>
      <c r="AE53" s="105">
        <v>0.14000000000000001</v>
      </c>
      <c r="AF53" s="9">
        <f t="shared" si="58"/>
        <v>132.85050225085729</v>
      </c>
      <c r="AG53" s="9">
        <f t="shared" si="59"/>
        <v>953.04065893469476</v>
      </c>
      <c r="AH53" s="9">
        <v>0</v>
      </c>
      <c r="AI53" s="9">
        <f>MoF!BE12</f>
        <v>305.39400000000001</v>
      </c>
      <c r="AJ53" s="9">
        <f t="shared" si="60"/>
        <v>1258.4346589346947</v>
      </c>
      <c r="AK53" s="105">
        <v>0.14000000000000001</v>
      </c>
      <c r="AL53" s="9">
        <f t="shared" si="61"/>
        <v>154.80327225085728</v>
      </c>
    </row>
    <row r="54" spans="2:38" x14ac:dyDescent="0.35">
      <c r="B54" s="7" t="s">
        <v>8</v>
      </c>
      <c r="C54" s="9">
        <v>708.69929859003582</v>
      </c>
      <c r="D54" s="9">
        <v>0</v>
      </c>
      <c r="E54" s="9">
        <f>MoF!G13</f>
        <v>1.6654550094</v>
      </c>
      <c r="F54" s="9">
        <f t="shared" si="45"/>
        <v>710.36475359943586</v>
      </c>
      <c r="G54" s="105">
        <v>0.155</v>
      </c>
      <c r="H54" s="9">
        <f t="shared" si="46"/>
        <v>109.97746404468404</v>
      </c>
      <c r="I54" s="9">
        <f t="shared" si="47"/>
        <v>710.36475359943586</v>
      </c>
      <c r="J54" s="9">
        <v>-1.0276380480412559</v>
      </c>
      <c r="K54" s="9">
        <f>MoF!Q13</f>
        <v>6.9399349841999998</v>
      </c>
      <c r="L54" s="9">
        <f t="shared" si="48"/>
        <v>716.27705053559464</v>
      </c>
      <c r="M54" s="105">
        <f>'Rate of RoE'!P13</f>
        <v>0.14250000000000002</v>
      </c>
      <c r="N54" s="9">
        <f t="shared" si="49"/>
        <v>101.64822854462093</v>
      </c>
      <c r="O54" s="9">
        <f t="shared" si="50"/>
        <v>716.27705053559464</v>
      </c>
      <c r="P54" s="9">
        <v>-1.0008801063555701</v>
      </c>
      <c r="Q54" s="9">
        <f>MoF!AA13</f>
        <v>22.653395201508179</v>
      </c>
      <c r="R54" s="9">
        <f t="shared" si="51"/>
        <v>737.92956563074722</v>
      </c>
      <c r="S54" s="105">
        <f>'Rate of RoE'!P34</f>
        <v>0.14250000000000002</v>
      </c>
      <c r="T54" s="9">
        <f t="shared" si="52"/>
        <v>103.61222140185188</v>
      </c>
      <c r="U54" s="9">
        <f t="shared" si="53"/>
        <v>737.92956563074722</v>
      </c>
      <c r="V54" s="9">
        <v>0</v>
      </c>
      <c r="W54" s="9">
        <f>MoF!AK13</f>
        <v>6.7590000000000003</v>
      </c>
      <c r="X54" s="9">
        <f t="shared" si="54"/>
        <v>744.68856563074723</v>
      </c>
      <c r="Y54" s="105">
        <v>0.14000000000000001</v>
      </c>
      <c r="Z54" s="9">
        <f t="shared" si="55"/>
        <v>103.78326918830462</v>
      </c>
      <c r="AA54" s="9">
        <f t="shared" si="56"/>
        <v>744.68856563074723</v>
      </c>
      <c r="AB54" s="9">
        <v>0</v>
      </c>
      <c r="AC54" s="9">
        <f>MoF!AU13</f>
        <v>102.714</v>
      </c>
      <c r="AD54" s="9">
        <f t="shared" si="57"/>
        <v>847.40256563074718</v>
      </c>
      <c r="AE54" s="105">
        <v>0.14000000000000001</v>
      </c>
      <c r="AF54" s="9">
        <f t="shared" si="58"/>
        <v>111.44637918830462</v>
      </c>
      <c r="AG54" s="9">
        <f t="shared" si="59"/>
        <v>847.40256563074718</v>
      </c>
      <c r="AH54" s="9">
        <v>0</v>
      </c>
      <c r="AI54" s="9">
        <f>MoF!BE13</f>
        <v>127.73699999999999</v>
      </c>
      <c r="AJ54" s="9">
        <f t="shared" si="60"/>
        <v>975.13956563074714</v>
      </c>
      <c r="AK54" s="105">
        <v>0.14000000000000001</v>
      </c>
      <c r="AL54" s="9">
        <f t="shared" si="61"/>
        <v>127.57794918830463</v>
      </c>
    </row>
    <row r="55" spans="2:38" x14ac:dyDescent="0.35">
      <c r="B55" s="7" t="s">
        <v>157</v>
      </c>
      <c r="C55" s="9">
        <v>1260.3988728325003</v>
      </c>
      <c r="D55" s="9">
        <v>-1.0118904179521848</v>
      </c>
      <c r="E55" s="9">
        <f>MoF!G14</f>
        <v>39.309067119899993</v>
      </c>
      <c r="F55" s="9">
        <f t="shared" si="45"/>
        <v>1298.6960495344481</v>
      </c>
      <c r="G55" s="105">
        <v>0.155</v>
      </c>
      <c r="H55" s="9">
        <f t="shared" si="46"/>
        <v>198.3298564834385</v>
      </c>
      <c r="I55" s="9">
        <f t="shared" si="47"/>
        <v>1298.6960495344481</v>
      </c>
      <c r="J55" s="9">
        <v>0</v>
      </c>
      <c r="K55" s="9">
        <f>MoF!Q14</f>
        <v>0.7997691455999999</v>
      </c>
      <c r="L55" s="9">
        <f t="shared" si="48"/>
        <v>1299.4958186800482</v>
      </c>
      <c r="M55" s="105">
        <f>'Rate of RoE'!P14</f>
        <v>0.14750000000000002</v>
      </c>
      <c r="N55" s="9">
        <f t="shared" si="49"/>
        <v>191.6166502808191</v>
      </c>
      <c r="O55" s="9">
        <f t="shared" si="50"/>
        <v>1299.4958186800482</v>
      </c>
      <c r="P55" s="9">
        <v>-0.7351851181351382</v>
      </c>
      <c r="Q55" s="9">
        <f>MoF!AA14</f>
        <v>11.4633359556</v>
      </c>
      <c r="R55" s="9">
        <f t="shared" si="51"/>
        <v>1310.2239695175131</v>
      </c>
      <c r="S55" s="105">
        <f>'Rate of RoE'!P35</f>
        <v>0.14250000000000002</v>
      </c>
      <c r="T55" s="9">
        <f t="shared" si="52"/>
        <v>185.94253490907624</v>
      </c>
      <c r="U55" s="9">
        <f t="shared" si="53"/>
        <v>1310.2239695175131</v>
      </c>
      <c r="V55" s="9">
        <v>0</v>
      </c>
      <c r="W55" s="9">
        <f>MoF!AK14</f>
        <v>5.5860000000000003</v>
      </c>
      <c r="X55" s="9">
        <f t="shared" si="54"/>
        <v>1315.8099695175131</v>
      </c>
      <c r="Y55" s="105">
        <v>0.14000000000000001</v>
      </c>
      <c r="Z55" s="9">
        <f t="shared" si="55"/>
        <v>183.82237573245186</v>
      </c>
      <c r="AA55" s="9">
        <f t="shared" si="56"/>
        <v>1315.8099695175131</v>
      </c>
      <c r="AB55" s="9">
        <v>0</v>
      </c>
      <c r="AC55" s="9">
        <f>MoF!AU14</f>
        <v>21.338999999999999</v>
      </c>
      <c r="AD55" s="9">
        <f t="shared" si="57"/>
        <v>1337.148969517513</v>
      </c>
      <c r="AE55" s="105">
        <v>0.14000000000000001</v>
      </c>
      <c r="AF55" s="9">
        <f t="shared" si="58"/>
        <v>185.70712573245186</v>
      </c>
      <c r="AG55" s="9">
        <f t="shared" si="59"/>
        <v>1337.148969517513</v>
      </c>
      <c r="AH55" s="9">
        <v>0</v>
      </c>
      <c r="AI55" s="9">
        <f>MoF!BE14</f>
        <v>317.44499999999999</v>
      </c>
      <c r="AJ55" s="9">
        <f t="shared" si="60"/>
        <v>1654.593969517513</v>
      </c>
      <c r="AK55" s="105">
        <v>0.14000000000000001</v>
      </c>
      <c r="AL55" s="9">
        <f t="shared" si="61"/>
        <v>209.42200573245185</v>
      </c>
    </row>
    <row r="56" spans="2:38" x14ac:dyDescent="0.35">
      <c r="B56" s="7" t="s">
        <v>158</v>
      </c>
      <c r="C56" s="9">
        <v>2845.77302531642</v>
      </c>
      <c r="D56" s="9">
        <v>0</v>
      </c>
      <c r="E56" s="9">
        <f>MoF!G15</f>
        <v>64.49721974789999</v>
      </c>
      <c r="F56" s="9">
        <f t="shared" si="45"/>
        <v>2910.2702450643201</v>
      </c>
      <c r="G56" s="105">
        <v>0.155</v>
      </c>
      <c r="H56" s="9">
        <f t="shared" si="46"/>
        <v>446.09335345450734</v>
      </c>
      <c r="I56" s="9">
        <f t="shared" si="47"/>
        <v>2910.2702450643201</v>
      </c>
      <c r="J56" s="9">
        <v>0</v>
      </c>
      <c r="K56" s="9">
        <f>MoF!Q15</f>
        <v>62.718603437849993</v>
      </c>
      <c r="L56" s="9">
        <f t="shared" si="48"/>
        <v>2972.9888485021702</v>
      </c>
      <c r="M56" s="105">
        <f>'Rate of RoE'!P15</f>
        <v>0.14250000000000002</v>
      </c>
      <c r="N56" s="9">
        <f t="shared" si="49"/>
        <v>419.18221041661246</v>
      </c>
      <c r="O56" s="9">
        <f t="shared" si="50"/>
        <v>2972.9888485021702</v>
      </c>
      <c r="P56" s="9">
        <v>0</v>
      </c>
      <c r="Q56" s="9">
        <f>MoF!AA15</f>
        <v>73.557530171399989</v>
      </c>
      <c r="R56" s="9">
        <f t="shared" si="51"/>
        <v>3046.54637867357</v>
      </c>
      <c r="S56" s="105">
        <f>'Rate of RoE'!P36</f>
        <v>0.14250000000000002</v>
      </c>
      <c r="T56" s="9">
        <f t="shared" si="52"/>
        <v>428.89188493627154</v>
      </c>
      <c r="U56" s="9">
        <f t="shared" si="53"/>
        <v>3046.54637867357</v>
      </c>
      <c r="V56" s="9">
        <v>0</v>
      </c>
      <c r="W56" s="9">
        <f>MoF!AK15</f>
        <v>105.003</v>
      </c>
      <c r="X56" s="9">
        <f t="shared" si="54"/>
        <v>3151.5493786735701</v>
      </c>
      <c r="Y56" s="105">
        <v>0.14000000000000001</v>
      </c>
      <c r="Z56" s="9">
        <f t="shared" si="55"/>
        <v>433.8667030142999</v>
      </c>
      <c r="AA56" s="9">
        <f t="shared" si="56"/>
        <v>3151.5493786735701</v>
      </c>
      <c r="AB56" s="9">
        <v>0</v>
      </c>
      <c r="AC56" s="9">
        <f>MoF!AU15</f>
        <v>53.195999999999998</v>
      </c>
      <c r="AD56" s="9">
        <f t="shared" si="57"/>
        <v>3204.74537867357</v>
      </c>
      <c r="AE56" s="105">
        <v>0.14000000000000001</v>
      </c>
      <c r="AF56" s="9">
        <f t="shared" si="58"/>
        <v>444.94063301429986</v>
      </c>
      <c r="AG56" s="9">
        <f t="shared" si="59"/>
        <v>3204.74537867357</v>
      </c>
      <c r="AH56" s="9">
        <v>0</v>
      </c>
      <c r="AI56" s="9">
        <f>MoF!BE15</f>
        <v>633.03899999999999</v>
      </c>
      <c r="AJ56" s="9">
        <f t="shared" si="60"/>
        <v>3837.7843786735702</v>
      </c>
      <c r="AK56" s="105">
        <v>0.14000000000000001</v>
      </c>
      <c r="AL56" s="9">
        <f t="shared" si="61"/>
        <v>492.97708301429981</v>
      </c>
    </row>
    <row r="57" spans="2:38" x14ac:dyDescent="0.35">
      <c r="B57" s="7" t="s">
        <v>159</v>
      </c>
      <c r="C57" s="9">
        <v>1158.4172941784475</v>
      </c>
      <c r="D57" s="9">
        <v>0</v>
      </c>
      <c r="E57" s="9">
        <f>MoF!G16</f>
        <v>2.1478673363999996</v>
      </c>
      <c r="F57" s="9">
        <f t="shared" si="45"/>
        <v>1160.5651615148474</v>
      </c>
      <c r="G57" s="105">
        <v>0.155</v>
      </c>
      <c r="H57" s="9">
        <f t="shared" si="46"/>
        <v>179.72114031623036</v>
      </c>
      <c r="I57" s="9">
        <f t="shared" si="47"/>
        <v>1160.5651615148474</v>
      </c>
      <c r="J57" s="9">
        <v>0</v>
      </c>
      <c r="K57" s="9">
        <f>MoF!Q16</f>
        <v>21.224942658299998</v>
      </c>
      <c r="L57" s="9">
        <f t="shared" si="48"/>
        <v>1181.7901041731475</v>
      </c>
      <c r="M57" s="105">
        <f>'Rate of RoE'!P16</f>
        <v>0.14500000000000002</v>
      </c>
      <c r="N57" s="9">
        <f t="shared" si="49"/>
        <v>169.82075676237963</v>
      </c>
      <c r="O57" s="9">
        <f t="shared" si="50"/>
        <v>1181.7901041731475</v>
      </c>
      <c r="P57" s="9">
        <v>0</v>
      </c>
      <c r="Q57" s="9">
        <f>MoF!AA16</f>
        <v>67.805588790599998</v>
      </c>
      <c r="R57" s="9">
        <f t="shared" si="51"/>
        <v>1249.5956929637475</v>
      </c>
      <c r="S57" s="105">
        <f>'Rate of RoE'!P37</f>
        <v>0.14500000000000002</v>
      </c>
      <c r="T57" s="9">
        <f t="shared" si="52"/>
        <v>176.27547029242493</v>
      </c>
      <c r="U57" s="9">
        <f t="shared" si="53"/>
        <v>1249.5956929637475</v>
      </c>
      <c r="V57" s="9">
        <v>0</v>
      </c>
      <c r="W57" s="9">
        <f>MoF!AK16</f>
        <v>47.525999999999996</v>
      </c>
      <c r="X57" s="9">
        <f t="shared" si="54"/>
        <v>1297.1216929637476</v>
      </c>
      <c r="Y57" s="105">
        <v>0.14000000000000001</v>
      </c>
      <c r="Z57" s="9">
        <f t="shared" si="55"/>
        <v>178.2702170149247</v>
      </c>
      <c r="AA57" s="9">
        <f t="shared" si="56"/>
        <v>1297.1216929637476</v>
      </c>
      <c r="AB57" s="9">
        <v>0</v>
      </c>
      <c r="AC57" s="9">
        <f>MoF!AU16</f>
        <v>97.254000000000005</v>
      </c>
      <c r="AD57" s="9">
        <f t="shared" si="57"/>
        <v>1394.3756929637475</v>
      </c>
      <c r="AE57" s="105">
        <v>0.14000000000000001</v>
      </c>
      <c r="AF57" s="9">
        <f t="shared" si="58"/>
        <v>188.40481701492467</v>
      </c>
      <c r="AG57" s="9">
        <f t="shared" si="59"/>
        <v>1394.3756929637475</v>
      </c>
      <c r="AH57" s="9">
        <v>0</v>
      </c>
      <c r="AI57" s="9">
        <f>MoF!BE16</f>
        <v>102.96900000000001</v>
      </c>
      <c r="AJ57" s="9">
        <f t="shared" si="60"/>
        <v>1497.3446929637475</v>
      </c>
      <c r="AK57" s="105">
        <v>0.14000000000000001</v>
      </c>
      <c r="AL57" s="9">
        <f t="shared" si="61"/>
        <v>202.42042701492468</v>
      </c>
    </row>
    <row r="58" spans="2:38" x14ac:dyDescent="0.35">
      <c r="B58" s="7" t="s">
        <v>160</v>
      </c>
      <c r="C58" s="9">
        <v>376.44338830711939</v>
      </c>
      <c r="D58" s="9">
        <v>0</v>
      </c>
      <c r="E58" s="9">
        <f>MoF!G17</f>
        <v>2.4577861632000007</v>
      </c>
      <c r="F58" s="9">
        <f t="shared" si="45"/>
        <v>378.9011744703194</v>
      </c>
      <c r="G58" s="105">
        <v>0.155</v>
      </c>
      <c r="H58" s="9">
        <f t="shared" si="46"/>
        <v>58.539203615251509</v>
      </c>
      <c r="I58" s="9">
        <f t="shared" si="47"/>
        <v>378.9011744703194</v>
      </c>
      <c r="J58" s="9">
        <v>0</v>
      </c>
      <c r="K58" s="9">
        <f>MoF!Q17</f>
        <v>4.1403019214999999</v>
      </c>
      <c r="L58" s="9">
        <f t="shared" si="48"/>
        <v>383.0414763918194</v>
      </c>
      <c r="M58" s="105">
        <f>'Rate of RoE'!P17</f>
        <v>0.14750000000000002</v>
      </c>
      <c r="N58" s="9">
        <f t="shared" si="49"/>
        <v>56.19327050108275</v>
      </c>
      <c r="O58" s="9">
        <f t="shared" si="50"/>
        <v>383.0414763918194</v>
      </c>
      <c r="P58" s="9">
        <v>0</v>
      </c>
      <c r="Q58" s="9">
        <f>MoF!AA17</f>
        <v>7.636596925200001</v>
      </c>
      <c r="R58" s="9">
        <f t="shared" si="51"/>
        <v>390.67807331701943</v>
      </c>
      <c r="S58" s="105">
        <f>'Rate of RoE'!P38</f>
        <v>0.14250000000000002</v>
      </c>
      <c r="T58" s="9">
        <f t="shared" si="52"/>
        <v>55.127517916754769</v>
      </c>
      <c r="U58" s="9">
        <f t="shared" si="53"/>
        <v>390.67807331701943</v>
      </c>
      <c r="V58" s="9">
        <v>0</v>
      </c>
      <c r="W58" s="9">
        <f>MoF!AK17</f>
        <v>31.103999999999999</v>
      </c>
      <c r="X58" s="9">
        <f t="shared" si="54"/>
        <v>421.78207331701941</v>
      </c>
      <c r="Y58" s="105">
        <v>0.14000000000000001</v>
      </c>
      <c r="Z58" s="9">
        <f t="shared" si="55"/>
        <v>56.87221026438273</v>
      </c>
      <c r="AA58" s="9">
        <f t="shared" si="56"/>
        <v>421.78207331701941</v>
      </c>
      <c r="AB58" s="9">
        <v>0</v>
      </c>
      <c r="AC58" s="9">
        <f>MoF!AU17</f>
        <v>2.2709999999999999</v>
      </c>
      <c r="AD58" s="9">
        <f t="shared" si="57"/>
        <v>424.05307331701943</v>
      </c>
      <c r="AE58" s="105">
        <v>0.14000000000000001</v>
      </c>
      <c r="AF58" s="9">
        <f t="shared" si="58"/>
        <v>59.20846026438273</v>
      </c>
      <c r="AG58" s="9">
        <f t="shared" si="59"/>
        <v>424.05307331701943</v>
      </c>
      <c r="AH58" s="9">
        <v>0</v>
      </c>
      <c r="AI58" s="9">
        <f>MoF!BE17</f>
        <v>66.716999999999999</v>
      </c>
      <c r="AJ58" s="9">
        <f t="shared" si="60"/>
        <v>490.77007331701941</v>
      </c>
      <c r="AK58" s="105">
        <v>0.14000000000000001</v>
      </c>
      <c r="AL58" s="9">
        <f t="shared" si="61"/>
        <v>64.037620264382724</v>
      </c>
    </row>
    <row r="59" spans="2:38" x14ac:dyDescent="0.35">
      <c r="B59" s="7" t="s">
        <v>186</v>
      </c>
      <c r="C59" s="9">
        <v>16.112398390961772</v>
      </c>
      <c r="D59" s="9">
        <v>-3.3034713831549212E-2</v>
      </c>
      <c r="E59" s="9">
        <f>MoF!G18</f>
        <v>2.3558698799999997</v>
      </c>
      <c r="F59" s="9">
        <f t="shared" si="45"/>
        <v>18.435233557130225</v>
      </c>
      <c r="G59" s="105">
        <v>0.155</v>
      </c>
      <c r="H59" s="9">
        <f t="shared" si="46"/>
        <v>2.6774414759771297</v>
      </c>
      <c r="I59" s="9">
        <f t="shared" si="47"/>
        <v>18.435233557130225</v>
      </c>
      <c r="J59" s="9">
        <v>0</v>
      </c>
      <c r="K59" s="9">
        <f>MoF!Q18</f>
        <v>3.2179994399999998</v>
      </c>
      <c r="L59" s="9">
        <f t="shared" si="48"/>
        <v>21.653232997130225</v>
      </c>
      <c r="M59" s="105">
        <f>'Rate of RoE'!P18</f>
        <v>0.14000000000000001</v>
      </c>
      <c r="N59" s="9">
        <f t="shared" si="49"/>
        <v>2.8061926587982318</v>
      </c>
      <c r="O59" s="9">
        <f t="shared" si="50"/>
        <v>21.653232997130225</v>
      </c>
      <c r="P59" s="9">
        <v>-7.3872025571648896E-3</v>
      </c>
      <c r="Q59" s="9">
        <f>MoF!AA18</f>
        <v>1.8859567118999998</v>
      </c>
      <c r="R59" s="9">
        <f t="shared" si="51"/>
        <v>23.53180250647306</v>
      </c>
      <c r="S59" s="105">
        <f>'Rate of RoE'!P39</f>
        <v>0.14000000000000001</v>
      </c>
      <c r="T59" s="9">
        <f t="shared" si="52"/>
        <v>3.1629524852522306</v>
      </c>
      <c r="U59" s="9">
        <f t="shared" si="53"/>
        <v>23.53180250647306</v>
      </c>
      <c r="V59" s="9">
        <v>0</v>
      </c>
      <c r="W59" s="9">
        <f>MoF!AK18</f>
        <v>11.385</v>
      </c>
      <c r="X59" s="9">
        <f t="shared" si="54"/>
        <v>34.916802506473061</v>
      </c>
      <c r="Y59" s="105">
        <v>0.14000000000000001</v>
      </c>
      <c r="Z59" s="9">
        <f t="shared" si="55"/>
        <v>4.0914023509062289</v>
      </c>
      <c r="AA59" s="9">
        <f t="shared" si="56"/>
        <v>34.916802506473061</v>
      </c>
      <c r="AB59" s="9">
        <v>0</v>
      </c>
      <c r="AC59" s="9">
        <f>MoF!AU18</f>
        <v>10.481999999999999</v>
      </c>
      <c r="AD59" s="9">
        <f t="shared" si="57"/>
        <v>45.398802506473061</v>
      </c>
      <c r="AE59" s="105">
        <v>0.14000000000000001</v>
      </c>
      <c r="AF59" s="9">
        <f t="shared" si="58"/>
        <v>5.6220923509062288</v>
      </c>
      <c r="AG59" s="9">
        <f t="shared" si="59"/>
        <v>45.398802506473061</v>
      </c>
      <c r="AH59" s="9">
        <v>0</v>
      </c>
      <c r="AI59" s="9">
        <f>MoF!BE18</f>
        <v>32.882999999999996</v>
      </c>
      <c r="AJ59" s="9">
        <f t="shared" si="60"/>
        <v>78.281802506473056</v>
      </c>
      <c r="AK59" s="105">
        <v>0.14000000000000001</v>
      </c>
      <c r="AL59" s="9">
        <f t="shared" si="61"/>
        <v>8.6576423509062295</v>
      </c>
    </row>
    <row r="60" spans="2:38" x14ac:dyDescent="0.35">
      <c r="B60" s="7" t="s">
        <v>187</v>
      </c>
      <c r="C60" s="9">
        <v>0.14856169847805453</v>
      </c>
      <c r="D60" s="9">
        <v>0</v>
      </c>
      <c r="E60" s="9">
        <f>MoF!G19</f>
        <v>1.1188482899999999E-2</v>
      </c>
      <c r="F60" s="9">
        <f t="shared" si="45"/>
        <v>0.15975018137805452</v>
      </c>
      <c r="G60" s="105">
        <v>0.155</v>
      </c>
      <c r="H60" s="9">
        <f t="shared" si="46"/>
        <v>2.3894170688848453E-2</v>
      </c>
      <c r="I60" s="9">
        <f t="shared" si="47"/>
        <v>0.15975018137805452</v>
      </c>
      <c r="J60" s="9">
        <v>0</v>
      </c>
      <c r="K60" s="9">
        <f>MoF!Q19</f>
        <v>0.27355035449999998</v>
      </c>
      <c r="L60" s="9">
        <f t="shared" si="48"/>
        <v>0.4333005358780545</v>
      </c>
      <c r="M60" s="105">
        <f>'Rate of RoE'!P19</f>
        <v>0.14000000000000001</v>
      </c>
      <c r="N60" s="9">
        <f t="shared" si="49"/>
        <v>4.1513550207927637E-2</v>
      </c>
      <c r="O60" s="9">
        <f t="shared" si="50"/>
        <v>0.4333005358780545</v>
      </c>
      <c r="P60" s="9">
        <v>0</v>
      </c>
      <c r="Q60" s="9">
        <f>MoF!AA19</f>
        <v>7.5995528699999995E-2</v>
      </c>
      <c r="R60" s="9">
        <f t="shared" si="51"/>
        <v>0.50929606457805454</v>
      </c>
      <c r="S60" s="105">
        <f>'Rate of RoE'!P40</f>
        <v>0.14000000000000001</v>
      </c>
      <c r="T60" s="9">
        <f t="shared" si="52"/>
        <v>6.598176203192764E-2</v>
      </c>
      <c r="U60" s="9">
        <f t="shared" si="53"/>
        <v>0.50929606457805454</v>
      </c>
      <c r="V60" s="9">
        <v>0</v>
      </c>
      <c r="W60" s="9">
        <f>MoF!AK19</f>
        <v>0.57299999999999995</v>
      </c>
      <c r="X60" s="9">
        <f t="shared" si="54"/>
        <v>1.0822960645780544</v>
      </c>
      <c r="Y60" s="105">
        <v>0.14000000000000001</v>
      </c>
      <c r="Z60" s="9">
        <f t="shared" si="55"/>
        <v>0.11141144904092763</v>
      </c>
      <c r="AA60" s="9">
        <f t="shared" si="56"/>
        <v>1.0822960645780544</v>
      </c>
      <c r="AB60" s="9">
        <v>0</v>
      </c>
      <c r="AC60" s="9">
        <f>MoF!AU19</f>
        <v>0</v>
      </c>
      <c r="AD60" s="9">
        <f t="shared" si="57"/>
        <v>1.0822960645780544</v>
      </c>
      <c r="AE60" s="105">
        <v>0.14000000000000001</v>
      </c>
      <c r="AF60" s="9">
        <f t="shared" si="58"/>
        <v>0.15152144904092762</v>
      </c>
      <c r="AG60" s="9">
        <f t="shared" si="59"/>
        <v>1.0822960645780544</v>
      </c>
      <c r="AH60" s="9">
        <v>0</v>
      </c>
      <c r="AI60" s="9">
        <f>MoF!BE19</f>
        <v>0</v>
      </c>
      <c r="AJ60" s="9">
        <f t="shared" si="60"/>
        <v>1.0822960645780544</v>
      </c>
      <c r="AK60" s="105">
        <v>0.14000000000000001</v>
      </c>
      <c r="AL60" s="9">
        <f t="shared" si="61"/>
        <v>0.15152144904092762</v>
      </c>
    </row>
    <row r="61" spans="2:38" x14ac:dyDescent="0.35">
      <c r="B61" s="7" t="s">
        <v>188</v>
      </c>
      <c r="C61" s="9">
        <v>3.0841705560165598</v>
      </c>
      <c r="D61" s="9">
        <v>0</v>
      </c>
      <c r="E61" s="9">
        <f>MoF!G20</f>
        <v>3.6366591E-3</v>
      </c>
      <c r="F61" s="9">
        <f t="shared" si="45"/>
        <v>3.0878072151165599</v>
      </c>
      <c r="G61" s="105">
        <v>0.155</v>
      </c>
      <c r="H61" s="9">
        <f t="shared" si="46"/>
        <v>0.47832827726281679</v>
      </c>
      <c r="I61" s="9">
        <f t="shared" si="47"/>
        <v>3.0878072151165599</v>
      </c>
      <c r="J61" s="9">
        <v>0</v>
      </c>
      <c r="K61" s="9">
        <f>MoF!Q20</f>
        <v>3.9276267299999994E-2</v>
      </c>
      <c r="L61" s="9">
        <f t="shared" si="48"/>
        <v>3.1270834824165599</v>
      </c>
      <c r="M61" s="105">
        <f>'Rate of RoE'!P20</f>
        <v>0.14000000000000001</v>
      </c>
      <c r="N61" s="9">
        <f t="shared" si="49"/>
        <v>0.4350423488273184</v>
      </c>
      <c r="O61" s="9">
        <f t="shared" si="50"/>
        <v>3.1270834824165599</v>
      </c>
      <c r="P61" s="9">
        <v>0</v>
      </c>
      <c r="Q61" s="9">
        <f>MoF!AA20</f>
        <v>1.7375699999999999E-3</v>
      </c>
      <c r="R61" s="9">
        <f t="shared" si="51"/>
        <v>3.1288210524165598</v>
      </c>
      <c r="S61" s="105">
        <f>'Rate of RoE'!P41</f>
        <v>0.14000000000000001</v>
      </c>
      <c r="T61" s="9">
        <f t="shared" si="52"/>
        <v>0.43791331743831841</v>
      </c>
      <c r="U61" s="9">
        <f t="shared" si="53"/>
        <v>3.1288210524165598</v>
      </c>
      <c r="V61" s="9">
        <v>0</v>
      </c>
      <c r="W61" s="9">
        <f>MoF!AK20</f>
        <v>0.73499999999999999</v>
      </c>
      <c r="X61" s="9">
        <f t="shared" si="54"/>
        <v>3.8638210524165597</v>
      </c>
      <c r="Y61" s="105">
        <v>0.14000000000000001</v>
      </c>
      <c r="Z61" s="9">
        <f t="shared" si="55"/>
        <v>0.48948494733831843</v>
      </c>
      <c r="AA61" s="9">
        <f t="shared" si="56"/>
        <v>3.8638210524165597</v>
      </c>
      <c r="AB61" s="9">
        <v>0</v>
      </c>
      <c r="AC61" s="9">
        <f>MoF!AU20</f>
        <v>0</v>
      </c>
      <c r="AD61" s="9">
        <f t="shared" si="57"/>
        <v>3.8638210524165597</v>
      </c>
      <c r="AE61" s="105">
        <v>0.14000000000000001</v>
      </c>
      <c r="AF61" s="9">
        <f t="shared" si="58"/>
        <v>0.54093494733831837</v>
      </c>
      <c r="AG61" s="9">
        <f t="shared" si="59"/>
        <v>3.8638210524165597</v>
      </c>
      <c r="AH61" s="9">
        <v>0</v>
      </c>
      <c r="AI61" s="9">
        <f>MoF!BE20</f>
        <v>0</v>
      </c>
      <c r="AJ61" s="9">
        <f t="shared" si="60"/>
        <v>3.8638210524165597</v>
      </c>
      <c r="AK61" s="105">
        <v>0.14000000000000001</v>
      </c>
      <c r="AL61" s="9">
        <f t="shared" si="61"/>
        <v>0.54093494733831837</v>
      </c>
    </row>
    <row r="62" spans="2:38" x14ac:dyDescent="0.35">
      <c r="B62" s="7" t="s">
        <v>189</v>
      </c>
      <c r="C62" s="9">
        <v>4.3366829022893612</v>
      </c>
      <c r="D62" s="9">
        <v>0</v>
      </c>
      <c r="E62" s="9">
        <f>MoF!G21</f>
        <v>1.4531368665</v>
      </c>
      <c r="F62" s="9">
        <f t="shared" si="45"/>
        <v>5.7898197687893607</v>
      </c>
      <c r="G62" s="105">
        <v>0.155</v>
      </c>
      <c r="H62" s="9">
        <f t="shared" si="46"/>
        <v>0.78480395700860095</v>
      </c>
      <c r="I62" s="9">
        <f t="shared" si="47"/>
        <v>5.7898197687893607</v>
      </c>
      <c r="J62" s="9">
        <v>0</v>
      </c>
      <c r="K62" s="9">
        <f>MoF!Q21</f>
        <v>0.77666405399999994</v>
      </c>
      <c r="L62" s="9">
        <f t="shared" si="48"/>
        <v>6.5664838227893609</v>
      </c>
      <c r="M62" s="105">
        <f>'Rate of RoE'!P21</f>
        <v>0.14000000000000001</v>
      </c>
      <c r="N62" s="9">
        <f t="shared" si="49"/>
        <v>0.8649412514105107</v>
      </c>
      <c r="O62" s="9">
        <f t="shared" si="50"/>
        <v>6.5664838227893609</v>
      </c>
      <c r="P62" s="9">
        <v>0</v>
      </c>
      <c r="Q62" s="9">
        <f>MoF!AA21</f>
        <v>0.576205407</v>
      </c>
      <c r="R62" s="9">
        <f t="shared" si="51"/>
        <v>7.1426892297893607</v>
      </c>
      <c r="S62" s="105">
        <f>'Rate of RoE'!P42</f>
        <v>0.14000000000000001</v>
      </c>
      <c r="T62" s="9">
        <f t="shared" si="52"/>
        <v>0.95964211368051056</v>
      </c>
      <c r="U62" s="9">
        <f t="shared" si="53"/>
        <v>7.1426892297893607</v>
      </c>
      <c r="V62" s="9">
        <v>0</v>
      </c>
      <c r="W62" s="9">
        <f>MoF!AK21</f>
        <v>7.3229999999999995</v>
      </c>
      <c r="X62" s="9">
        <f t="shared" si="54"/>
        <v>14.46568922978936</v>
      </c>
      <c r="Y62" s="105">
        <v>0.14000000000000001</v>
      </c>
      <c r="Z62" s="9">
        <f t="shared" si="55"/>
        <v>1.5125864921705106</v>
      </c>
      <c r="AA62" s="9">
        <f t="shared" si="56"/>
        <v>14.46568922978936</v>
      </c>
      <c r="AB62" s="9">
        <v>0</v>
      </c>
      <c r="AC62" s="9">
        <f>MoF!AU21</f>
        <v>19.5</v>
      </c>
      <c r="AD62" s="9">
        <f t="shared" si="57"/>
        <v>33.965689229789362</v>
      </c>
      <c r="AE62" s="105">
        <v>0.14000000000000001</v>
      </c>
      <c r="AF62" s="9">
        <f t="shared" si="58"/>
        <v>3.390196492170511</v>
      </c>
      <c r="AG62" s="9">
        <f t="shared" si="59"/>
        <v>33.965689229789362</v>
      </c>
      <c r="AH62" s="9">
        <v>0</v>
      </c>
      <c r="AI62" s="9">
        <f>MoF!BE21</f>
        <v>10.362</v>
      </c>
      <c r="AJ62" s="9">
        <f t="shared" si="60"/>
        <v>44.327689229789364</v>
      </c>
      <c r="AK62" s="105">
        <v>0.14000000000000001</v>
      </c>
      <c r="AL62" s="9">
        <f t="shared" si="61"/>
        <v>5.4805364921705104</v>
      </c>
    </row>
    <row r="63" spans="2:38" x14ac:dyDescent="0.35">
      <c r="B63" s="12" t="s">
        <v>27</v>
      </c>
      <c r="C63" s="13">
        <f>SUM(C46:C62)</f>
        <v>10788.962753392054</v>
      </c>
      <c r="D63" s="13">
        <f t="shared" ref="D63:H63" si="62">SUM(D46:D62)</f>
        <v>-6.0848684468669161</v>
      </c>
      <c r="E63" s="13">
        <f t="shared" si="62"/>
        <v>177.15574207709997</v>
      </c>
      <c r="F63" s="13">
        <f t="shared" si="62"/>
        <v>10960.033627022291</v>
      </c>
      <c r="G63" s="11"/>
      <c r="H63" s="13">
        <f t="shared" si="62"/>
        <v>1685.5472194821116</v>
      </c>
      <c r="I63" s="13">
        <f>SUM(I46:I62)</f>
        <v>10960.033627022291</v>
      </c>
      <c r="J63" s="13">
        <f t="shared" ref="J63:L63" si="63">SUM(J46:J62)</f>
        <v>-2.3380006337456924</v>
      </c>
      <c r="K63" s="13">
        <f t="shared" si="63"/>
        <v>173.31599059064999</v>
      </c>
      <c r="L63" s="13">
        <f t="shared" si="63"/>
        <v>11131.011616979196</v>
      </c>
      <c r="M63" s="11"/>
      <c r="N63" s="13">
        <f t="shared" ref="N63" si="64">SUM(N46:N62)</f>
        <v>1600.6207565043619</v>
      </c>
      <c r="O63" s="13">
        <f>SUM(O46:O62)</f>
        <v>11131.011616979196</v>
      </c>
      <c r="P63" s="13">
        <f t="shared" ref="P63:R63" si="65">SUM(P46:P62)</f>
        <v>-34.095310830422683</v>
      </c>
      <c r="Q63" s="13">
        <f t="shared" si="65"/>
        <v>348.2065360261081</v>
      </c>
      <c r="R63" s="13">
        <f t="shared" si="65"/>
        <v>11445.122842174878</v>
      </c>
      <c r="S63" s="11"/>
      <c r="T63" s="13">
        <f t="shared" ref="T63" si="66">SUM(T46:T62)</f>
        <v>1617.727970031541</v>
      </c>
      <c r="U63" s="13">
        <f>SUM(U46:U62)</f>
        <v>11445.122842174878</v>
      </c>
      <c r="V63" s="13">
        <f t="shared" ref="V63:X63" si="67">SUM(V46:V62)</f>
        <v>0</v>
      </c>
      <c r="W63" s="13">
        <f t="shared" si="67"/>
        <v>356.59199999999993</v>
      </c>
      <c r="X63" s="13">
        <f t="shared" si="67"/>
        <v>11801.714842174879</v>
      </c>
      <c r="Y63" s="11"/>
      <c r="Z63" s="13">
        <f t="shared" ref="Z63" si="68">SUM(Z46:Z62)</f>
        <v>1627.2786379044833</v>
      </c>
      <c r="AA63" s="13">
        <f>SUM(AA46:AA62)</f>
        <v>11801.714842174879</v>
      </c>
      <c r="AB63" s="13">
        <f t="shared" ref="AB63:AD63" si="69">SUM(AB46:AB62)</f>
        <v>0</v>
      </c>
      <c r="AC63" s="13">
        <f t="shared" si="69"/>
        <v>735.11099999999988</v>
      </c>
      <c r="AD63" s="13">
        <f t="shared" si="69"/>
        <v>12536.825842174881</v>
      </c>
      <c r="AE63" s="11"/>
      <c r="AF63" s="13">
        <f t="shared" ref="AF63" si="70">SUM(AF46:AF62)</f>
        <v>1703.6978479044835</v>
      </c>
      <c r="AG63" s="13">
        <f>SUM(AG46:AG62)</f>
        <v>12536.825842174881</v>
      </c>
      <c r="AH63" s="13">
        <f t="shared" ref="AH63:AJ63" si="71">SUM(AH46:AH62)</f>
        <v>0</v>
      </c>
      <c r="AI63" s="13">
        <f t="shared" si="71"/>
        <v>2498.703</v>
      </c>
      <c r="AJ63" s="13">
        <f t="shared" si="71"/>
        <v>15035.528842174879</v>
      </c>
      <c r="AK63" s="11"/>
      <c r="AL63" s="13">
        <f t="shared" ref="AL63" si="72">SUM(AL46:AL62)</f>
        <v>1930.0648279044831</v>
      </c>
    </row>
    <row r="64" spans="2:38" x14ac:dyDescent="0.35">
      <c r="D64" s="107"/>
    </row>
  </sheetData>
  <mergeCells count="21">
    <mergeCell ref="AA22:AF22"/>
    <mergeCell ref="AG22:AL22"/>
    <mergeCell ref="B44:B45"/>
    <mergeCell ref="C44:H44"/>
    <mergeCell ref="I44:N44"/>
    <mergeCell ref="O44:T44"/>
    <mergeCell ref="U44:Z44"/>
    <mergeCell ref="AA44:AF44"/>
    <mergeCell ref="AG44:AL44"/>
    <mergeCell ref="U22:Z22"/>
    <mergeCell ref="R3:T3"/>
    <mergeCell ref="B22:B23"/>
    <mergeCell ref="C22:H22"/>
    <mergeCell ref="I22:N22"/>
    <mergeCell ref="O22:T22"/>
    <mergeCell ref="B3:B4"/>
    <mergeCell ref="C3:E3"/>
    <mergeCell ref="F3:H3"/>
    <mergeCell ref="I3:K3"/>
    <mergeCell ref="L3:N3"/>
    <mergeCell ref="O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Title</vt:lpstr>
      <vt:lpstr>Review Order_180 of 2020</vt:lpstr>
      <vt:lpstr>BTPS_4-5 LD Impact</vt:lpstr>
      <vt:lpstr>KRD_8-10 LD impact</vt:lpstr>
      <vt:lpstr>CPR8-9 UDL impact</vt:lpstr>
      <vt:lpstr>Parli8 UDL impact</vt:lpstr>
      <vt:lpstr>GFA</vt:lpstr>
      <vt:lpstr>IoL</vt:lpstr>
      <vt:lpstr>RoE</vt:lpstr>
      <vt:lpstr>MoF</vt:lpstr>
      <vt:lpstr>Rate of RoE</vt:lpstr>
      <vt:lpstr>Depreciation (Summary)</vt:lpstr>
      <vt:lpstr>Depreciation</vt:lpstr>
      <vt:lpstr>O&amp;M (Summary)</vt:lpstr>
      <vt:lpstr>O&amp;M expenses</vt:lpstr>
      <vt:lpstr>EC</vt:lpstr>
      <vt:lpstr>Price &amp; GCV of fuels</vt:lpstr>
      <vt:lpstr>IoWC</vt:lpstr>
      <vt:lpstr>ARR</vt:lpstr>
      <vt:lpstr>Hydro tariff</vt:lpstr>
      <vt:lpstr>AFC reduction</vt:lpstr>
      <vt:lpstr>Sharing of AUX</vt:lpstr>
      <vt:lpstr>Summary of true-up</vt:lpstr>
      <vt:lpstr>Total gap(surplus)</vt:lpstr>
      <vt:lpstr>Summary of Tariff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Krishna Mohan</dc:creator>
  <cp:lastModifiedBy>Anil Patkare</cp:lastModifiedBy>
  <dcterms:created xsi:type="dcterms:W3CDTF">2023-04-03T05:10:35Z</dcterms:created>
  <dcterms:modified xsi:type="dcterms:W3CDTF">2024-07-03T12:07:51Z</dcterms:modified>
</cp:coreProperties>
</file>